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/colors6.xml" ContentType="application/vnd.ms-office.chartcolorstyle+xml"/>
  <Override PartName="/xl/charts/style6.xml" ContentType="application/vnd.ms-office.chartstyle+xml"/>
  <Override PartName="/xl/charts/chart6.xml" ContentType="application/vnd.openxmlformats-officedocument.drawingml.chart+xml"/>
  <Override PartName="/xl/charts/colors5.xml" ContentType="application/vnd.ms-office.chartcolorstyle+xml"/>
  <Override PartName="/xl/charts/style5.xml" ContentType="application/vnd.ms-office.chartstyle+xml"/>
  <Override PartName="/xl/worksheets/sheet1.xml" ContentType="application/vnd.openxmlformats-officedocument.spreadsheetml.worksheet+xml"/>
  <Override PartName="/xl/charts/chart5.xml" ContentType="application/vnd.openxmlformats-officedocument.drawingml.char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olors2.xml" ContentType="application/vnd.ms-office.chartcolorstyle+xml"/>
  <Override PartName="/xl/charts/style2.xml" ContentType="application/vnd.ms-office.chartstyle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charts/chart3.xml" ContentType="application/vnd.openxmlformats-officedocument.drawingml.chart+xml"/>
  <Override PartName="/xl/styles.xml" ContentType="application/vnd.openxmlformats-officedocument.spreadsheetml.styles+xml"/>
  <Override PartName="/xl/charts/colors4.xml" ContentType="application/vnd.ms-office.chartcolorstyle+xml"/>
  <Override PartName="/xl/charts/style4.xml" ContentType="application/vnd.ms-office.chartstyle+xml"/>
  <Override PartName="/xl/sharedStrings.xml" ContentType="application/vnd.openxmlformats-officedocument.spreadsheetml.sharedStrings+xml"/>
  <Override PartName="/xl/charts/chart4.xml" ContentType="application/vnd.openxmlformats-officedocument.drawingml.chart+xml"/>
  <Override PartName="/xl/charts/style3.xml" ContentType="application/vnd.ms-office.chartstyle+xml"/>
  <Override PartName="/xl/theme/theme1.xml" ContentType="application/vnd.openxmlformats-officedocument.theme+xml"/>
  <Override PartName="/xl/charts/colors3.xml" ContentType="application/vnd.ms-office.chartcolorstyl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rf-ryhma\OKM Opetus ja kulttuuriministeriö\Jäähalliportaali\Energiatehokkuuden parantaminen -osio\"/>
    </mc:Choice>
  </mc:AlternateContent>
  <bookViews>
    <workbookView xWindow="0" yWindow="0" windowWidth="25200" windowHeight="11985"/>
  </bookViews>
  <sheets>
    <sheet name="Lomake" sheetId="5" r:id="rId1"/>
    <sheet name="Kaukolämmön kk.kulutus" sheetId="1" r:id="rId2"/>
    <sheet name="Sähkön kk.kulutus" sheetId="3" r:id="rId3"/>
    <sheet name="Veden kk.kulutus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4" i="1"/>
  <c r="J16" i="1" l="1"/>
  <c r="E5" i="3"/>
  <c r="E6" i="3"/>
  <c r="E7" i="3"/>
  <c r="E8" i="3"/>
  <c r="E9" i="3"/>
  <c r="E10" i="3"/>
  <c r="E11" i="3"/>
  <c r="E12" i="3"/>
  <c r="E13" i="3"/>
  <c r="E14" i="3"/>
  <c r="E15" i="3"/>
  <c r="E4" i="3"/>
  <c r="I5" i="1"/>
  <c r="I6" i="1"/>
  <c r="I7" i="1"/>
  <c r="I8" i="1"/>
  <c r="I9" i="1"/>
  <c r="I10" i="1"/>
  <c r="I11" i="1"/>
  <c r="I12" i="1"/>
  <c r="I13" i="1"/>
  <c r="I14" i="1"/>
  <c r="I15" i="1"/>
  <c r="I4" i="1"/>
  <c r="E5" i="1"/>
  <c r="E6" i="1"/>
  <c r="E7" i="1"/>
  <c r="E8" i="1"/>
  <c r="E9" i="1"/>
  <c r="E10" i="1"/>
  <c r="E11" i="1"/>
  <c r="E12" i="1"/>
  <c r="E13" i="1"/>
  <c r="E14" i="1"/>
  <c r="E15" i="1"/>
  <c r="E4" i="1"/>
  <c r="P9" i="1" l="1"/>
  <c r="P8" i="1"/>
  <c r="P9" i="3"/>
  <c r="M9" i="3"/>
  <c r="M8" i="3"/>
  <c r="L11" i="3" s="1"/>
  <c r="P8" i="3"/>
  <c r="M9" i="1"/>
  <c r="M8" i="1"/>
  <c r="O11" i="3" l="1"/>
  <c r="B16" i="4"/>
  <c r="G17" i="5" l="1"/>
  <c r="G18" i="5" s="1"/>
  <c r="E15" i="4"/>
  <c r="D15" i="4"/>
  <c r="G15" i="4" s="1"/>
  <c r="C15" i="4"/>
  <c r="E14" i="4"/>
  <c r="D14" i="4"/>
  <c r="G14" i="4" s="1"/>
  <c r="C14" i="4"/>
  <c r="E13" i="4"/>
  <c r="D13" i="4"/>
  <c r="G13" i="4" s="1"/>
  <c r="C13" i="4"/>
  <c r="E12" i="4"/>
  <c r="D12" i="4"/>
  <c r="G12" i="4" s="1"/>
  <c r="C12" i="4"/>
  <c r="E11" i="4"/>
  <c r="D11" i="4"/>
  <c r="G11" i="4" s="1"/>
  <c r="C11" i="4"/>
  <c r="E10" i="4"/>
  <c r="D10" i="4"/>
  <c r="G10" i="4" s="1"/>
  <c r="C10" i="4"/>
  <c r="E9" i="4"/>
  <c r="D9" i="4"/>
  <c r="G9" i="4" s="1"/>
  <c r="C9" i="4"/>
  <c r="E8" i="4"/>
  <c r="D8" i="4"/>
  <c r="G8" i="4" s="1"/>
  <c r="C8" i="4"/>
  <c r="E7" i="4"/>
  <c r="D7" i="4"/>
  <c r="G7" i="4" s="1"/>
  <c r="C7" i="4"/>
  <c r="E6" i="4"/>
  <c r="D6" i="4"/>
  <c r="G6" i="4" s="1"/>
  <c r="C6" i="4"/>
  <c r="E5" i="4"/>
  <c r="D5" i="4"/>
  <c r="G5" i="4" s="1"/>
  <c r="C5" i="4"/>
  <c r="E4" i="4"/>
  <c r="D4" i="4"/>
  <c r="G4" i="4" s="1"/>
  <c r="C4" i="4"/>
  <c r="H5" i="3"/>
  <c r="H6" i="3"/>
  <c r="H7" i="3"/>
  <c r="H8" i="3"/>
  <c r="H9" i="3"/>
  <c r="H10" i="3"/>
  <c r="H11" i="3"/>
  <c r="H12" i="3"/>
  <c r="H13" i="3"/>
  <c r="H14" i="3"/>
  <c r="H15" i="3"/>
  <c r="H4" i="3"/>
  <c r="G5" i="3"/>
  <c r="J5" i="3" s="1"/>
  <c r="G6" i="3"/>
  <c r="J6" i="3" s="1"/>
  <c r="G7" i="3"/>
  <c r="J7" i="3" s="1"/>
  <c r="G8" i="3"/>
  <c r="J8" i="3" s="1"/>
  <c r="G9" i="3"/>
  <c r="J9" i="3" s="1"/>
  <c r="G10" i="3"/>
  <c r="J10" i="3" s="1"/>
  <c r="G11" i="3"/>
  <c r="J11" i="3" s="1"/>
  <c r="G12" i="3"/>
  <c r="J12" i="3" s="1"/>
  <c r="G13" i="3"/>
  <c r="J13" i="3" s="1"/>
  <c r="G14" i="3"/>
  <c r="J14" i="3" s="1"/>
  <c r="G15" i="3"/>
  <c r="J15" i="3" s="1"/>
  <c r="G4" i="3"/>
  <c r="F5" i="3"/>
  <c r="F6" i="3"/>
  <c r="F7" i="3"/>
  <c r="F8" i="3"/>
  <c r="F9" i="3"/>
  <c r="F10" i="3"/>
  <c r="F11" i="3"/>
  <c r="F12" i="3"/>
  <c r="F13" i="3"/>
  <c r="F14" i="3"/>
  <c r="F15" i="3"/>
  <c r="F4" i="3"/>
  <c r="B16" i="3"/>
  <c r="D15" i="3"/>
  <c r="D14" i="3"/>
  <c r="D13" i="3"/>
  <c r="D12" i="3"/>
  <c r="D11" i="3"/>
  <c r="D10" i="3"/>
  <c r="D9" i="3"/>
  <c r="D8" i="3"/>
  <c r="D7" i="3"/>
  <c r="D6" i="3"/>
  <c r="D5" i="3"/>
  <c r="D4" i="3"/>
  <c r="J4" i="3" l="1"/>
  <c r="O5" i="3"/>
  <c r="P5" i="3" s="1"/>
  <c r="O6" i="3"/>
  <c r="P6" i="3" s="1"/>
  <c r="G16" i="4"/>
  <c r="J16" i="3"/>
  <c r="F6" i="4"/>
  <c r="F10" i="4"/>
  <c r="F14" i="4"/>
  <c r="F5" i="4"/>
  <c r="F9" i="4"/>
  <c r="F13" i="4"/>
  <c r="I4" i="3"/>
  <c r="I8" i="3"/>
  <c r="I14" i="3"/>
  <c r="I10" i="3"/>
  <c r="I6" i="3"/>
  <c r="F4" i="4"/>
  <c r="F8" i="4"/>
  <c r="F12" i="4"/>
  <c r="I13" i="3"/>
  <c r="I9" i="3"/>
  <c r="I5" i="3"/>
  <c r="F7" i="4"/>
  <c r="F11" i="4"/>
  <c r="F15" i="4"/>
  <c r="I12" i="3"/>
  <c r="I15" i="3"/>
  <c r="I11" i="3"/>
  <c r="I7" i="3"/>
  <c r="G14" i="5"/>
  <c r="G15" i="5" s="1"/>
  <c r="M8" i="4"/>
  <c r="M9" i="4"/>
  <c r="G16" i="3"/>
  <c r="L5" i="4"/>
  <c r="L6" i="4"/>
  <c r="D16" i="4"/>
  <c r="O6" i="1"/>
  <c r="O5" i="1"/>
  <c r="L5" i="3" l="1"/>
  <c r="M5" i="3" s="1"/>
  <c r="L6" i="3"/>
  <c r="M6" i="3" s="1"/>
  <c r="G19" i="5"/>
  <c r="L11" i="4"/>
  <c r="J9" i="4"/>
  <c r="I5" i="4"/>
  <c r="I6" i="4"/>
  <c r="J8" i="4"/>
  <c r="M6" i="4"/>
  <c r="M5" i="4"/>
  <c r="G16" i="5" l="1"/>
  <c r="I11" i="4"/>
  <c r="J5" i="4"/>
  <c r="J6" i="4"/>
  <c r="G16" i="1"/>
  <c r="B16" i="1" l="1"/>
  <c r="G11" i="5" l="1"/>
  <c r="G12" i="5" s="1"/>
  <c r="L6" i="1" l="1"/>
  <c r="L5" i="1"/>
  <c r="D5" i="1"/>
  <c r="D6" i="1"/>
  <c r="D7" i="1"/>
  <c r="D8" i="1"/>
  <c r="D9" i="1"/>
  <c r="D10" i="1"/>
  <c r="D11" i="1"/>
  <c r="D12" i="1"/>
  <c r="D13" i="1"/>
  <c r="D14" i="1"/>
  <c r="D15" i="1"/>
  <c r="D4" i="1"/>
  <c r="O11" i="1" l="1"/>
  <c r="G13" i="5" l="1"/>
  <c r="L11" i="1"/>
  <c r="M6" i="1"/>
  <c r="M5" i="1"/>
  <c r="P6" i="1"/>
  <c r="P5" i="1"/>
</calcChain>
</file>

<file path=xl/sharedStrings.xml><?xml version="1.0" encoding="utf-8"?>
<sst xmlns="http://schemas.openxmlformats.org/spreadsheetml/2006/main" count="164" uniqueCount="81">
  <si>
    <t>Tammikuu</t>
  </si>
  <si>
    <t>Helmikuu</t>
  </si>
  <si>
    <t>Maaliskuu</t>
  </si>
  <si>
    <t>Huhtikuu</t>
  </si>
  <si>
    <t>Toukokuu</t>
  </si>
  <si>
    <t>Kesäkuu</t>
  </si>
  <si>
    <t>Heinäkuu</t>
  </si>
  <si>
    <t>Elokuu</t>
  </si>
  <si>
    <t>Syyskuu</t>
  </si>
  <si>
    <t>Lokakuu</t>
  </si>
  <si>
    <t>Marraskuu</t>
  </si>
  <si>
    <t>Joulukuu</t>
  </si>
  <si>
    <t>Kaukolämmön kulutus [MWh]</t>
  </si>
  <si>
    <t>Tunteja kuukaudessa</t>
  </si>
  <si>
    <t>Päiviä kuukaudessa</t>
  </si>
  <si>
    <t>Kaukolämmön kulutuksen keskiteho [kW]</t>
  </si>
  <si>
    <t>Kuukauden ulkolämpötilan keskiarvo [°C]</t>
  </si>
  <si>
    <t>Sisälämpötilan asetusarvo [°C]</t>
  </si>
  <si>
    <t>Sisä- ja ulkolämpötilan välinen ero [°C]</t>
  </si>
  <si>
    <t>Yhteensä</t>
  </si>
  <si>
    <t>MWh/vuosi</t>
  </si>
  <si>
    <t>Sähkön kulutus [MWh]</t>
  </si>
  <si>
    <t>Sähkön kulutuksen keskiteho [kW]</t>
  </si>
  <si>
    <t>Kuukauden kävijämäärä</t>
  </si>
  <si>
    <t>kävijöitä yhteensä vuodessa</t>
  </si>
  <si>
    <t>Veden kulutus [m3]</t>
  </si>
  <si>
    <t>Keskiarvo vuodessa</t>
  </si>
  <si>
    <t>Y=kX+b</t>
  </si>
  <si>
    <t>Kulutuksen suhde kävijämääriin</t>
  </si>
  <si>
    <t>k=</t>
  </si>
  <si>
    <t>b=</t>
  </si>
  <si>
    <t>Laskenta tapahtuu automaattisesti. Keskiarvosuora piirtyy kuvaajaan vasta kun koko vuoden tiedot on syötetty.</t>
  </si>
  <si>
    <t>Lämpötilaeron ja kulutuksen välinen suhde</t>
  </si>
  <si>
    <t>Laskentaparametrit kuvaajaan</t>
  </si>
  <si>
    <t>Suoran yhtälön kertoimet</t>
  </si>
  <si>
    <t>Suoran yhtälö</t>
  </si>
  <si>
    <r>
      <t>Ohje: Täytä</t>
    </r>
    <r>
      <rPr>
        <b/>
        <sz val="18"/>
        <color theme="7"/>
        <rFont val="Calibri"/>
        <family val="2"/>
        <scheme val="minor"/>
      </rPr>
      <t xml:space="preserve"> </t>
    </r>
    <r>
      <rPr>
        <b/>
        <u/>
        <sz val="18"/>
        <color theme="4" tint="-0.249977111117893"/>
        <rFont val="Calibri"/>
        <family val="2"/>
        <scheme val="minor"/>
      </rPr>
      <t>Veden kulutuksen  tiedot Siniselle pohjalle</t>
    </r>
    <r>
      <rPr>
        <b/>
        <sz val="18"/>
        <color theme="1"/>
        <rFont val="Calibri"/>
        <family val="2"/>
        <scheme val="minor"/>
      </rPr>
      <t xml:space="preserve">. Muut tiedot haetaan kaukolämmön kulutuksen tiedoista tai lasketaan. </t>
    </r>
  </si>
  <si>
    <t>Veden kulutus per kävijä [l/hlö]</t>
  </si>
  <si>
    <t>m3/vuosi</t>
  </si>
  <si>
    <r>
      <t>Ohje: Täytä</t>
    </r>
    <r>
      <rPr>
        <b/>
        <sz val="18"/>
        <color theme="7"/>
        <rFont val="Calibri"/>
        <family val="2"/>
        <scheme val="minor"/>
      </rPr>
      <t xml:space="preserve"> </t>
    </r>
    <r>
      <rPr>
        <b/>
        <u/>
        <sz val="18"/>
        <color theme="7"/>
        <rFont val="Calibri"/>
        <family val="2"/>
        <scheme val="minor"/>
      </rPr>
      <t>Kaukolämmön kulutuksen ja ulkolämpötilan tiedot sekä kävijämäärät oransseille pohjille</t>
    </r>
    <r>
      <rPr>
        <b/>
        <sz val="18"/>
        <color theme="1"/>
        <rFont val="Calibri"/>
        <family val="2"/>
        <scheme val="minor"/>
      </rPr>
      <t xml:space="preserve">. </t>
    </r>
  </si>
  <si>
    <r>
      <t>Ohje: Täytä</t>
    </r>
    <r>
      <rPr>
        <b/>
        <sz val="18"/>
        <color theme="7"/>
        <rFont val="Calibri"/>
        <family val="2"/>
        <scheme val="minor"/>
      </rPr>
      <t xml:space="preserve"> </t>
    </r>
    <r>
      <rPr>
        <b/>
        <u/>
        <sz val="18"/>
        <color rgb="FF00B0F0"/>
        <rFont val="Calibri"/>
        <family val="2"/>
        <scheme val="minor"/>
      </rPr>
      <t>Sähkön kulutuksen tiedot Siniselle pohjalle</t>
    </r>
    <r>
      <rPr>
        <b/>
        <sz val="18"/>
        <color theme="1"/>
        <rFont val="Calibri"/>
        <family val="2"/>
        <scheme val="minor"/>
      </rPr>
      <t xml:space="preserve">. Muut tiedot haetaan kaukolämmön kulutuksen tiedoista tai lasketaan. </t>
    </r>
  </si>
  <si>
    <t>litraa/hlö</t>
  </si>
  <si>
    <t>MWh</t>
  </si>
  <si>
    <t>m3</t>
  </si>
  <si>
    <t>Kaukolämmön kulutus per kävijä [kWh/hlö]</t>
  </si>
  <si>
    <t>kWh/hlö</t>
  </si>
  <si>
    <t>Sähkön kulutus per kävijä [kWh/hlö]</t>
  </si>
  <si>
    <t>Jäähallin lähtötilanne -lomake (jäähalliportaali)</t>
  </si>
  <si>
    <t>Vuosi</t>
  </si>
  <si>
    <t>Lomakkeen täyttäjä</t>
  </si>
  <si>
    <t>Hallin perustiedot:</t>
  </si>
  <si>
    <t>Rakennusvuosi</t>
  </si>
  <si>
    <t>Hallin kokonaispinta-ala (bruttoala)</t>
  </si>
  <si>
    <t>m2</t>
  </si>
  <si>
    <t>Hallitilan ilmanvaihdon kuivatustapa (sorptio-/kondenssikuivain)</t>
  </si>
  <si>
    <t>Hallin käyttökauden pituus (kk. - kk. Yht. X kk.)</t>
  </si>
  <si>
    <t>Lämpö- ja sähköenergian sekä veden kulutustiedot.</t>
  </si>
  <si>
    <t xml:space="preserve"> Täytä tiedot seuraaville välilehdille.</t>
  </si>
  <si>
    <t>Lämpöenergian kulutus tarkateluvuonna</t>
  </si>
  <si>
    <t>Lämpöenergian ominaiskulutus</t>
  </si>
  <si>
    <t>kWh/m2,a</t>
  </si>
  <si>
    <t>Lämpöenergian kulutus per kävijä</t>
  </si>
  <si>
    <t>Sähköenergian kulutus tarkasteluvuonna</t>
  </si>
  <si>
    <t>Sähköenergian ominaiskulutus</t>
  </si>
  <si>
    <t>Sähköenergian kulutus per kävijä</t>
  </si>
  <si>
    <t>Veden kokonaiskulutus tarkasteluvuonna</t>
  </si>
  <si>
    <t>Veden ominaiskulutus</t>
  </si>
  <si>
    <t>litraa/m2,a</t>
  </si>
  <si>
    <t>Veden kulutus per kävijä</t>
  </si>
  <si>
    <t>Muut energiatehokkuuden keskeiset tekijät</t>
  </si>
  <si>
    <t>Kylmäkoneiston COP.</t>
  </si>
  <si>
    <t>Jäähallin ilmanpitävyys n50 (1/h) tai q50 (m3/h,m2) lukuna. Selvitetään mittaamalla.</t>
  </si>
  <si>
    <t>cm</t>
  </si>
  <si>
    <t>Miten kylmäkoneiden lauhde-energiaa käytetään hyödyksi? Miten suuri osa lauhteesta hyödynnetään? (suurin piirtein %)</t>
  </si>
  <si>
    <t>Hallitilan valaistuksen teho ja käyttötapa. Asennettu valaistusteho kilowatteina? Miten valaistusta ohjtataan? (käsin/automaattisesti, käyttäjien/henkilökunnan toimesta) Keskimääräinen käyttöaika täysteholla, puoliteholla, muulla teholla.</t>
  </si>
  <si>
    <t>Hallissa havaitut ongelmat. Kuluuko energiaa ehkä liikaa muihin halleihin verrattuna? Onko esiintynyt epäillystä hallin toimimattomuudesta? Onko hallissa kosteus-/homeongelmia? Ajatuksia ja ideoita.</t>
  </si>
  <si>
    <t>Jään paksuus keskimäärin. (Sekä vaihteluväli)</t>
  </si>
  <si>
    <t>Muista ilmoittaa myös jäähalliportaaliin!</t>
  </si>
  <si>
    <t>Kondenssikuivaus</t>
  </si>
  <si>
    <t>elokuu - kesäkuu, 11kk</t>
  </si>
  <si>
    <t>2-4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</si>
</sst>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"/>
    <numFmt numFmtId="166" formatCode="0.0000"/>
  </numFmts>
  <fonts count="12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7"/>
      <name val="Calibri"/>
      <family val="2"/>
      <scheme val="minor"/>
    </font>
    <font>
      <b/>
      <u/>
      <sz val="18"/>
      <color theme="7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u/>
      <sz val="18"/>
      <color rgb="FF00B0F0"/>
      <name val="Calibri"/>
      <family val="2"/>
      <scheme val="minor"/>
    </font>
    <font>
      <b/>
      <u/>
      <sz val="18"/>
      <color theme="4" tint="-0.249977111117893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5" borderId="1" xfId="0" applyFill="1" applyBorder="1"/>
    <xf numFmtId="0" fontId="0" fillId="0" borderId="1" xfId="0" applyBorder="1"/>
    <xf numFmtId="0" fontId="2" fillId="0" borderId="0" xfId="0" applyFont="1"/>
    <xf numFmtId="0" fontId="3" fillId="0" borderId="1" xfId="0" applyFont="1" applyBorder="1"/>
    <xf numFmtId="0" fontId="3" fillId="0" borderId="0" xfId="0" applyFont="1"/>
    <xf numFmtId="0" fontId="3" fillId="5" borderId="1" xfId="0" applyFont="1" applyFill="1" applyBorder="1"/>
    <xf numFmtId="0" fontId="1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 wrapText="1"/>
    </xf>
    <xf numFmtId="2" fontId="0" fillId="0" borderId="0" xfId="0" applyNumberFormat="1"/>
    <xf numFmtId="0" fontId="4" fillId="0" borderId="0" xfId="0" applyFont="1"/>
    <xf numFmtId="0" fontId="1" fillId="0" borderId="0" xfId="0" applyFont="1" applyAlignment="1"/>
    <xf numFmtId="0" fontId="0" fillId="0" borderId="1" xfId="0" applyBorder="1" applyAlignment="1">
      <alignment horizontal="right"/>
    </xf>
    <xf numFmtId="2" fontId="0" fillId="0" borderId="1" xfId="0" applyNumberFormat="1" applyBorder="1" applyAlignment="1">
      <alignment horizontal="left"/>
    </xf>
    <xf numFmtId="0" fontId="7" fillId="0" borderId="1" xfId="0" applyFont="1" applyBorder="1"/>
    <xf numFmtId="2" fontId="7" fillId="0" borderId="1" xfId="0" applyNumberFormat="1" applyFont="1" applyBorder="1"/>
    <xf numFmtId="0" fontId="3" fillId="9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wrapText="1"/>
    </xf>
    <xf numFmtId="0" fontId="0" fillId="10" borderId="1" xfId="0" applyFill="1" applyBorder="1" applyAlignment="1">
      <alignment horizontal="center"/>
    </xf>
    <xf numFmtId="164" fontId="0" fillId="11" borderId="1" xfId="0" applyNumberForma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2" fontId="0" fillId="11" borderId="1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65" fontId="0" fillId="0" borderId="1" xfId="0" applyNumberFormat="1" applyBorder="1" applyAlignment="1">
      <alignment horizontal="left"/>
    </xf>
    <xf numFmtId="166" fontId="0" fillId="0" borderId="1" xfId="0" applyNumberFormat="1" applyBorder="1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Border="1"/>
    <xf numFmtId="2" fontId="0" fillId="0" borderId="0" xfId="0" applyNumberFormat="1" applyBorder="1" applyAlignment="1">
      <alignment wrapText="1"/>
    </xf>
    <xf numFmtId="0" fontId="10" fillId="0" borderId="0" xfId="0" applyFont="1"/>
    <xf numFmtId="0" fontId="11" fillId="0" borderId="1" xfId="0" applyFont="1" applyBorder="1"/>
    <xf numFmtId="0" fontId="11" fillId="3" borderId="1" xfId="0" applyFont="1" applyFill="1" applyBorder="1"/>
    <xf numFmtId="0" fontId="0" fillId="0" borderId="0" xfId="0" applyAlignment="1">
      <alignment horizontal="center"/>
    </xf>
    <xf numFmtId="0" fontId="11" fillId="3" borderId="1" xfId="0" applyFont="1" applyFill="1" applyBorder="1" applyAlignment="1">
      <alignment horizontal="right"/>
    </xf>
    <xf numFmtId="2" fontId="11" fillId="3" borderId="1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center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/>
    <xf numFmtId="49" fontId="11" fillId="3" borderId="1" xfId="0" applyNumberFormat="1" applyFont="1" applyFill="1" applyBorder="1" applyAlignment="1">
      <alignment horizontal="center"/>
    </xf>
    <xf numFmtId="0" fontId="3" fillId="0" borderId="0" xfId="0" applyFont="1" applyBorder="1"/>
    <xf numFmtId="2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right" wrapText="1"/>
    </xf>
    <xf numFmtId="0" fontId="3" fillId="6" borderId="1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2" fontId="3" fillId="8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4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1" fillId="0" borderId="7" xfId="0" applyFont="1" applyBorder="1" applyAlignment="1">
      <alignment horizontal="center" vertical="top"/>
    </xf>
    <xf numFmtId="0" fontId="11" fillId="0" borderId="8" xfId="0" applyFont="1" applyBorder="1" applyAlignment="1">
      <alignment horizontal="center" vertical="top"/>
    </xf>
    <xf numFmtId="0" fontId="11" fillId="0" borderId="9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11" fillId="0" borderId="2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0" fontId="11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3" fillId="9" borderId="2" xfId="0" applyNumberFormat="1" applyFont="1" applyFill="1" applyBorder="1" applyAlignment="1">
      <alignment horizontal="center"/>
    </xf>
    <xf numFmtId="0" fontId="3" fillId="9" borderId="3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3" fillId="5" borderId="2" xfId="0" applyNumberFormat="1" applyFont="1" applyFill="1" applyBorder="1" applyAlignment="1">
      <alignment horizontal="center"/>
    </xf>
    <xf numFmtId="0" fontId="3" fillId="5" borderId="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Kaukolämmön kulutuksen keskitehon suhde sisä- ja ulkoilman väliseen lämpötilaeroon</a:t>
            </a:r>
          </a:p>
        </c:rich>
      </c:tx>
      <c:layout>
        <c:manualLayout>
          <c:xMode val="edge"/>
          <c:yMode val="edge"/>
          <c:x val="0.19911918582816976"/>
          <c:y val="2.848950754363682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'Kaukolämmön kk.kulutus'!$L$3</c:f>
              <c:strCache>
                <c:ptCount val="1"/>
                <c:pt idx="0">
                  <c:v>Y=kX+b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'Kaukolämmön kk.kulutus'!$L$5:$L$6</c:f>
              <c:numCache>
                <c:formatCode>General</c:formatCode>
                <c:ptCount val="2"/>
                <c:pt idx="0">
                  <c:v>-12.899999999999999</c:v>
                </c:pt>
                <c:pt idx="1">
                  <c:v>31.3</c:v>
                </c:pt>
              </c:numCache>
            </c:numRef>
          </c:xVal>
          <c:yVal>
            <c:numRef>
              <c:f>'Kaukolämmön kk.kulutus'!$M$5:$M$6</c:f>
              <c:numCache>
                <c:formatCode>0.00</c:formatCode>
                <c:ptCount val="2"/>
                <c:pt idx="0">
                  <c:v>8.832722293399641</c:v>
                </c:pt>
                <c:pt idx="1">
                  <c:v>130.316117176121</c:v>
                </c:pt>
              </c:numCache>
            </c:numRef>
          </c:yVal>
          <c:smooth val="0"/>
        </c:ser>
        <c:ser>
          <c:idx val="2"/>
          <c:order val="1"/>
          <c:tx>
            <c:strRef>
              <c:f>'Kaukolämmön kk.kulutus'!$A$4</c:f>
              <c:strCache>
                <c:ptCount val="1"/>
                <c:pt idx="0">
                  <c:v>Tammikuu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kk.kulutus'!$I$4</c:f>
              <c:numCache>
                <c:formatCode>General</c:formatCode>
                <c:ptCount val="1"/>
                <c:pt idx="0">
                  <c:v>18.8</c:v>
                </c:pt>
              </c:numCache>
            </c:numRef>
          </c:xVal>
          <c:yVal>
            <c:numRef>
              <c:f>'Kaukolämmön kk.kulutus'!$E$4</c:f>
              <c:numCache>
                <c:formatCode>0.0</c:formatCode>
                <c:ptCount val="1"/>
                <c:pt idx="0">
                  <c:v>88.306451612903231</c:v>
                </c:pt>
              </c:numCache>
            </c:numRef>
          </c:yVal>
          <c:smooth val="0"/>
        </c:ser>
        <c:ser>
          <c:idx val="0"/>
          <c:order val="2"/>
          <c:tx>
            <c:strRef>
              <c:f>'Kaukolämmön kk.kulutus'!$A$5</c:f>
              <c:strCache>
                <c:ptCount val="1"/>
                <c:pt idx="0">
                  <c:v>Helmikuu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5184545970574271E-2"/>
                  <c:y val="-8.333335156022565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kk.kulutus'!$I$5</c:f>
              <c:numCache>
                <c:formatCode>General</c:formatCode>
                <c:ptCount val="1"/>
                <c:pt idx="0">
                  <c:v>26.3</c:v>
                </c:pt>
              </c:numCache>
            </c:numRef>
          </c:xVal>
          <c:yVal>
            <c:numRef>
              <c:f>'Kaukolämmön kk.kulutus'!$E$5</c:f>
              <c:numCache>
                <c:formatCode>0.0</c:formatCode>
                <c:ptCount val="1"/>
                <c:pt idx="0">
                  <c:v>104.46428571428572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'Kaukolämmön kk.kulutus'!$A$6</c:f>
              <c:strCache>
                <c:ptCount val="1"/>
                <c:pt idx="0">
                  <c:v>Maaliskuu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kk.kulutus'!$I$6</c:f>
              <c:numCache>
                <c:formatCode>General</c:formatCode>
                <c:ptCount val="1"/>
                <c:pt idx="0">
                  <c:v>13.8</c:v>
                </c:pt>
              </c:numCache>
            </c:numRef>
          </c:xVal>
          <c:yVal>
            <c:numRef>
              <c:f>'Kaukolämmön kk.kulutus'!$E$6</c:f>
              <c:numCache>
                <c:formatCode>0.0</c:formatCode>
                <c:ptCount val="1"/>
                <c:pt idx="0">
                  <c:v>77.956989247311824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'Kaukolämmön kk.kulutus'!$A$7</c:f>
              <c:strCache>
                <c:ptCount val="1"/>
                <c:pt idx="0">
                  <c:v>Huhtikuu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19050" cap="rnd">
                <a:noFill/>
                <a:round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kk.kulutus'!$I$7</c:f>
              <c:numCache>
                <c:formatCode>General</c:formatCode>
                <c:ptCount val="1"/>
                <c:pt idx="0">
                  <c:v>6</c:v>
                </c:pt>
              </c:numCache>
            </c:numRef>
          </c:xVal>
          <c:yVal>
            <c:numRef>
              <c:f>'Kaukolämmön kk.kulutus'!$E$7</c:f>
              <c:numCache>
                <c:formatCode>0.0</c:formatCode>
                <c:ptCount val="1"/>
                <c:pt idx="0">
                  <c:v>50.694444444444443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'Kaukolämmön kk.kulutus'!$A$8</c:f>
              <c:strCache>
                <c:ptCount val="1"/>
                <c:pt idx="0">
                  <c:v>Toukokuu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circle"/>
              <c:size val="5"/>
              <c:spPr>
                <a:solidFill>
                  <a:srgbClr val="FF0000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19050" cap="rnd">
                <a:noFill/>
                <a:round/>
              </a:ln>
              <a:effectLst/>
            </c:spPr>
          </c:dPt>
          <c:dLbls>
            <c:dLbl>
              <c:idx val="0"/>
              <c:layout>
                <c:manualLayout>
                  <c:x val="2.606262664486983E-3"/>
                  <c:y val="2.7777783853408541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kk.kulutus'!$I$8</c:f>
              <c:numCache>
                <c:formatCode>General</c:formatCode>
                <c:ptCount val="1"/>
                <c:pt idx="0">
                  <c:v>1.1999999999999993</c:v>
                </c:pt>
              </c:numCache>
            </c:numRef>
          </c:xVal>
          <c:yVal>
            <c:numRef>
              <c:f>'Kaukolämmön kk.kulutus'!$E$8</c:f>
              <c:numCache>
                <c:formatCode>0.0</c:formatCode>
                <c:ptCount val="1"/>
                <c:pt idx="0">
                  <c:v>40.725806451612904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'Kaukolämmön kk.kulutus'!$A$9</c:f>
              <c:strCache>
                <c:ptCount val="1"/>
                <c:pt idx="0">
                  <c:v>Kesäkuu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5.833334609215783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kk.kulutus'!$I$9</c:f>
              <c:numCache>
                <c:formatCode>General</c:formatCode>
                <c:ptCount val="1"/>
                <c:pt idx="0">
                  <c:v>-5.6</c:v>
                </c:pt>
              </c:numCache>
            </c:numRef>
          </c:xVal>
          <c:yVal>
            <c:numRef>
              <c:f>'Kaukolämmön kk.kulutus'!$E$9</c:f>
              <c:numCache>
                <c:formatCode>0.0</c:formatCode>
                <c:ptCount val="1"/>
                <c:pt idx="0">
                  <c:v>25.277777777777779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'Kaukolämmön kk.kulutus'!$A$10</c:f>
              <c:strCache>
                <c:ptCount val="1"/>
                <c:pt idx="0">
                  <c:v>Heinäkuu</c:v>
                </c:pt>
              </c:strCache>
            </c:strRef>
          </c:tx>
          <c:spPr>
            <a:ln w="19050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kk.kulutus'!$I$10</c:f>
              <c:numCache>
                <c:formatCode>General</c:formatCode>
                <c:ptCount val="1"/>
                <c:pt idx="0">
                  <c:v>-7.8999999999999986</c:v>
                </c:pt>
              </c:numCache>
            </c:numRef>
          </c:xVal>
          <c:yVal>
            <c:numRef>
              <c:f>'Kaukolämmön kk.kulutus'!$E$10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'Kaukolämmön kk.kulutus'!$A$11</c:f>
              <c:strCache>
                <c:ptCount val="1"/>
                <c:pt idx="0">
                  <c:v>Elokuu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8187879934609478E-3"/>
                  <c:y val="-4.722223255079452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kk.kulutus'!$I$11</c:f>
              <c:numCache>
                <c:formatCode>General</c:formatCode>
                <c:ptCount val="1"/>
                <c:pt idx="0">
                  <c:v>-4.3000000000000007</c:v>
                </c:pt>
              </c:numCache>
            </c:numRef>
          </c:xVal>
          <c:yVal>
            <c:numRef>
              <c:f>'Kaukolämmön kk.kulutus'!$E$11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'Kaukolämmön kk.kulutus'!$A$12</c:f>
              <c:strCache>
                <c:ptCount val="1"/>
                <c:pt idx="0">
                  <c:v>Syyskuu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8.6176816911111426E-3"/>
                  <c:y val="-1.845238095238095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kk.kulutus'!$I$12</c:f>
              <c:numCache>
                <c:formatCode>General</c:formatCode>
                <c:ptCount val="1"/>
                <c:pt idx="0">
                  <c:v>-0.69999999999999929</c:v>
                </c:pt>
              </c:numCache>
            </c:numRef>
          </c:xVal>
          <c:yVal>
            <c:numRef>
              <c:f>'Kaukolämmön kk.kulutus'!$E$12</c:f>
              <c:numCache>
                <c:formatCode>0.0</c:formatCode>
                <c:ptCount val="1"/>
                <c:pt idx="0">
                  <c:v>106.52777777777777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'Kaukolämmön kk.kulutus'!$A$13</c:f>
              <c:strCache>
                <c:ptCount val="1"/>
                <c:pt idx="0">
                  <c:v>Lokakuu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kk.kulutus'!$I$13</c:f>
              <c:numCache>
                <c:formatCode>General</c:formatCode>
                <c:ptCount val="1"/>
                <c:pt idx="0">
                  <c:v>5.3</c:v>
                </c:pt>
              </c:numCache>
            </c:numRef>
          </c:xVal>
          <c:yVal>
            <c:numRef>
              <c:f>'Kaukolämmön kk.kulutus'!$E$13</c:f>
              <c:numCache>
                <c:formatCode>0.0</c:formatCode>
                <c:ptCount val="1"/>
                <c:pt idx="0">
                  <c:v>72.983870967741936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'Kaukolämmön kk.kulutus'!$A$14</c:f>
              <c:strCache>
                <c:ptCount val="1"/>
                <c:pt idx="0">
                  <c:v>Marraskuu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0369091941148626E-2"/>
                  <c:y val="-5.277778932147622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kk.kulutus'!$I$14</c:f>
              <c:numCache>
                <c:formatCode>General</c:formatCode>
                <c:ptCount val="1"/>
                <c:pt idx="0">
                  <c:v>8.5</c:v>
                </c:pt>
              </c:numCache>
            </c:numRef>
          </c:xVal>
          <c:yVal>
            <c:numRef>
              <c:f>'Kaukolämmön kk.kulutus'!$E$14</c:f>
              <c:numCache>
                <c:formatCode>0.0</c:formatCode>
                <c:ptCount val="1"/>
                <c:pt idx="0">
                  <c:v>67.777777777777771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'Kaukolämmön kk.kulutus'!$A$15</c:f>
              <c:strCache>
                <c:ptCount val="1"/>
                <c:pt idx="0">
                  <c:v>Joulukuu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9.0043136844870902E-3"/>
                  <c:y val="4.369763351882440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kk.kulutus'!$I$15</c:f>
              <c:numCache>
                <c:formatCode>General</c:formatCode>
                <c:ptCount val="1"/>
                <c:pt idx="0">
                  <c:v>10.4</c:v>
                </c:pt>
              </c:numCache>
            </c:numRef>
          </c:xVal>
          <c:yVal>
            <c:numRef>
              <c:f>'Kaukolämmön kk.kulutus'!$E$15</c:f>
              <c:numCache>
                <c:formatCode>0.0</c:formatCode>
                <c:ptCount val="1"/>
                <c:pt idx="0">
                  <c:v>94.086021505376337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407696"/>
        <c:axId val="304408088"/>
      </c:scatterChart>
      <c:valAx>
        <c:axId val="304407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Sisä</a:t>
                </a:r>
                <a:r>
                  <a:rPr lang="fi-FI" sz="1600" baseline="0"/>
                  <a:t>- ja ulkoilman välinen lämpötilaero [°C]</a:t>
                </a:r>
                <a:endParaRPr lang="fi-FI" sz="16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4408088"/>
        <c:crosses val="autoZero"/>
        <c:crossBetween val="midCat"/>
      </c:valAx>
      <c:valAx>
        <c:axId val="3044080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Kaukolämmönkulutuksen keskiteho [kW]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4407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Kaukolämmön kulutuksen keskitehon suhde kävijämääriin</a:t>
            </a:r>
          </a:p>
        </c:rich>
      </c:tx>
      <c:layout>
        <c:manualLayout>
          <c:xMode val="edge"/>
          <c:yMode val="edge"/>
          <c:x val="0.30617204042457047"/>
          <c:y val="3.6687045685404811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'Kaukolämmön kk.kulutus'!$A$4</c:f>
              <c:strCache>
                <c:ptCount val="1"/>
                <c:pt idx="0">
                  <c:v>Tammikuu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kk.kulutus'!$G$4</c:f>
              <c:numCache>
                <c:formatCode>General</c:formatCode>
                <c:ptCount val="1"/>
                <c:pt idx="0">
                  <c:v>6000</c:v>
                </c:pt>
              </c:numCache>
            </c:numRef>
          </c:xVal>
          <c:yVal>
            <c:numRef>
              <c:f>'Kaukolämmön kk.kulutus'!$E$4</c:f>
              <c:numCache>
                <c:formatCode>0.0</c:formatCode>
                <c:ptCount val="1"/>
                <c:pt idx="0">
                  <c:v>88.306451612903231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'Kaukolämmön kk.kulutus'!$A$5</c:f>
              <c:strCache>
                <c:ptCount val="1"/>
                <c:pt idx="0">
                  <c:v>Helmikuu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kk.kulutus'!$G$5</c:f>
              <c:numCache>
                <c:formatCode>General</c:formatCode>
                <c:ptCount val="1"/>
                <c:pt idx="0">
                  <c:v>5500</c:v>
                </c:pt>
              </c:numCache>
            </c:numRef>
          </c:xVal>
          <c:yVal>
            <c:numRef>
              <c:f>'Kaukolämmön kk.kulutus'!$E$5</c:f>
              <c:numCache>
                <c:formatCode>0.0</c:formatCode>
                <c:ptCount val="1"/>
                <c:pt idx="0">
                  <c:v>104.46428571428572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'Kaukolämmön kk.kulutus'!$A$6</c:f>
              <c:strCache>
                <c:ptCount val="1"/>
                <c:pt idx="0">
                  <c:v>Maaliskuu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kk.kulutus'!$G$6</c:f>
              <c:numCache>
                <c:formatCode>General</c:formatCode>
                <c:ptCount val="1"/>
                <c:pt idx="0">
                  <c:v>5500</c:v>
                </c:pt>
              </c:numCache>
            </c:numRef>
          </c:xVal>
          <c:yVal>
            <c:numRef>
              <c:f>'Kaukolämmön kk.kulutus'!$E$6</c:f>
              <c:numCache>
                <c:formatCode>0.0</c:formatCode>
                <c:ptCount val="1"/>
                <c:pt idx="0">
                  <c:v>77.956989247311824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'Kaukolämmön kk.kulutus'!$A$7</c:f>
              <c:strCache>
                <c:ptCount val="1"/>
                <c:pt idx="0">
                  <c:v>Huhtikuu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kk.kulutus'!$G$7</c:f>
              <c:numCache>
                <c:formatCode>General</c:formatCode>
                <c:ptCount val="1"/>
                <c:pt idx="0">
                  <c:v>4000</c:v>
                </c:pt>
              </c:numCache>
            </c:numRef>
          </c:xVal>
          <c:yVal>
            <c:numRef>
              <c:f>'Kaukolämmön kk.kulutus'!$E$7</c:f>
              <c:numCache>
                <c:formatCode>0.0</c:formatCode>
                <c:ptCount val="1"/>
                <c:pt idx="0">
                  <c:v>50.694444444444443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'Kaukolämmön kk.kulutus'!$A$8</c:f>
              <c:strCache>
                <c:ptCount val="1"/>
                <c:pt idx="0">
                  <c:v>Toukokuu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kk.kulutus'!$G$8</c:f>
              <c:numCache>
                <c:formatCode>General</c:formatCode>
                <c:ptCount val="1"/>
                <c:pt idx="0">
                  <c:v>2000</c:v>
                </c:pt>
              </c:numCache>
            </c:numRef>
          </c:xVal>
          <c:yVal>
            <c:numRef>
              <c:f>'Kaukolämmön kk.kulutus'!$E$8</c:f>
              <c:numCache>
                <c:formatCode>0.0</c:formatCode>
                <c:ptCount val="1"/>
                <c:pt idx="0">
                  <c:v>40.725806451612904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'Kaukolämmön kk.kulutus'!$A$9</c:f>
              <c:strCache>
                <c:ptCount val="1"/>
                <c:pt idx="0">
                  <c:v>Kesäkuu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kk.kulutus'!$G$9</c:f>
              <c:numCache>
                <c:formatCode>General</c:formatCode>
                <c:ptCount val="1"/>
                <c:pt idx="0">
                  <c:v>500</c:v>
                </c:pt>
              </c:numCache>
            </c:numRef>
          </c:xVal>
          <c:yVal>
            <c:numRef>
              <c:f>'Kaukolämmön kk.kulutus'!$E$9</c:f>
              <c:numCache>
                <c:formatCode>0.0</c:formatCode>
                <c:ptCount val="1"/>
                <c:pt idx="0">
                  <c:v>25.277777777777779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'Kaukolämmön kk.kulutus'!$A$10</c:f>
              <c:strCache>
                <c:ptCount val="1"/>
                <c:pt idx="0">
                  <c:v>Heinäkuu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kk.kulutus'!$G$10</c:f>
              <c:numCache>
                <c:formatCode>General</c:formatCode>
                <c:ptCount val="1"/>
                <c:pt idx="0">
                  <c:v>500</c:v>
                </c:pt>
              </c:numCache>
            </c:numRef>
          </c:xVal>
          <c:yVal>
            <c:numRef>
              <c:f>'Kaukolämmön kk.kulutus'!$E$10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'Kaukolämmön kk.kulutus'!$A$11</c:f>
              <c:strCache>
                <c:ptCount val="1"/>
                <c:pt idx="0">
                  <c:v>Elokuu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kk.kulutus'!$G$11</c:f>
              <c:numCache>
                <c:formatCode>General</c:formatCode>
                <c:ptCount val="1"/>
                <c:pt idx="0">
                  <c:v>2000</c:v>
                </c:pt>
              </c:numCache>
            </c:numRef>
          </c:xVal>
          <c:yVal>
            <c:numRef>
              <c:f>'Kaukolämmön kk.kulutus'!$E$11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'Kaukolämmön kk.kulutus'!$A$12</c:f>
              <c:strCache>
                <c:ptCount val="1"/>
                <c:pt idx="0">
                  <c:v>Syyskuu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kk.kulutus'!$G$12</c:f>
              <c:numCache>
                <c:formatCode>General</c:formatCode>
                <c:ptCount val="1"/>
                <c:pt idx="0">
                  <c:v>4000</c:v>
                </c:pt>
              </c:numCache>
            </c:numRef>
          </c:xVal>
          <c:yVal>
            <c:numRef>
              <c:f>'Kaukolämmön kk.kulutus'!$E$12</c:f>
              <c:numCache>
                <c:formatCode>0.0</c:formatCode>
                <c:ptCount val="1"/>
                <c:pt idx="0">
                  <c:v>106.52777777777777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'Kaukolämmön kk.kulutus'!$A$13</c:f>
              <c:strCache>
                <c:ptCount val="1"/>
                <c:pt idx="0">
                  <c:v>Lokakuu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kk.kulutus'!$G$13</c:f>
              <c:numCache>
                <c:formatCode>General</c:formatCode>
                <c:ptCount val="1"/>
                <c:pt idx="0">
                  <c:v>7000</c:v>
                </c:pt>
              </c:numCache>
            </c:numRef>
          </c:xVal>
          <c:yVal>
            <c:numRef>
              <c:f>'Kaukolämmön kk.kulutus'!$E$13</c:f>
              <c:numCache>
                <c:formatCode>0.0</c:formatCode>
                <c:ptCount val="1"/>
                <c:pt idx="0">
                  <c:v>72.983870967741936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'Kaukolämmön kk.kulutus'!$A$14</c:f>
              <c:strCache>
                <c:ptCount val="1"/>
                <c:pt idx="0">
                  <c:v>Marraskuu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kk.kulutus'!$G$14</c:f>
              <c:numCache>
                <c:formatCode>General</c:formatCode>
                <c:ptCount val="1"/>
                <c:pt idx="0">
                  <c:v>7500</c:v>
                </c:pt>
              </c:numCache>
            </c:numRef>
          </c:xVal>
          <c:yVal>
            <c:numRef>
              <c:f>'Kaukolämmön kk.kulutus'!$E$14</c:f>
              <c:numCache>
                <c:formatCode>0.0</c:formatCode>
                <c:ptCount val="1"/>
                <c:pt idx="0">
                  <c:v>67.777777777777771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'Kaukolämmön kk.kulutus'!$A$15</c:f>
              <c:strCache>
                <c:ptCount val="1"/>
                <c:pt idx="0">
                  <c:v>Joulukuu</c:v>
                </c:pt>
              </c:strCache>
            </c:strRef>
          </c:tx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'Kaukolämmön kk.kulutus'!$G$15</c:f>
              <c:numCache>
                <c:formatCode>General</c:formatCode>
                <c:ptCount val="1"/>
                <c:pt idx="0">
                  <c:v>8000</c:v>
                </c:pt>
              </c:numCache>
            </c:numRef>
          </c:xVal>
          <c:yVal>
            <c:numRef>
              <c:f>'Kaukolämmön kk.kulutus'!$E$15</c:f>
              <c:numCache>
                <c:formatCode>0.0</c:formatCode>
                <c:ptCount val="1"/>
                <c:pt idx="0">
                  <c:v>94.086021505376337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'Kaukolämmön kk.kulutus'!$P$3</c:f>
              <c:strCache>
                <c:ptCount val="1"/>
                <c:pt idx="0">
                  <c:v>Kulutuksen suhde kävijämääriin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>
                    <a:lumMod val="80000"/>
                    <a:lumOff val="20000"/>
                  </a:schemeClr>
                </a:solidFill>
                <a:ln w="9525">
                  <a:solidFill>
                    <a:schemeClr val="accent1">
                      <a:lumMod val="80000"/>
                      <a:lumOff val="2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accent1"/>
                </a:solidFill>
                <a:prstDash val="sysDash"/>
                <a:round/>
              </a:ln>
              <a:effectLst/>
            </c:spPr>
          </c:dPt>
          <c:xVal>
            <c:numRef>
              <c:f>'Kaukolämmön kk.kulutus'!$O$5:$O$6</c:f>
              <c:numCache>
                <c:formatCode>General</c:formatCode>
                <c:ptCount val="2"/>
                <c:pt idx="0">
                  <c:v>-1500</c:v>
                </c:pt>
                <c:pt idx="1">
                  <c:v>10000</c:v>
                </c:pt>
              </c:numCache>
            </c:numRef>
          </c:xVal>
          <c:yVal>
            <c:numRef>
              <c:f>'Kaukolämmön kk.kulutus'!$P$5:$P$6</c:f>
              <c:numCache>
                <c:formatCode>General</c:formatCode>
                <c:ptCount val="2"/>
                <c:pt idx="0">
                  <c:v>-3.6882923881277954</c:v>
                </c:pt>
                <c:pt idx="1">
                  <c:v>122.41380955864165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894592"/>
        <c:axId val="433894984"/>
      </c:scatterChart>
      <c:valAx>
        <c:axId val="433894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Kävijämäärä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33894984"/>
        <c:crosses val="autoZero"/>
        <c:crossBetween val="midCat"/>
      </c:valAx>
      <c:valAx>
        <c:axId val="4338949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Kaukolämmönkulutuksen keskiteho [kW]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338945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Sähkön kulutuksen keskitehon suhde sisä- ja ulkoilman väliseen lämpötilaeroon</a:t>
            </a:r>
          </a:p>
        </c:rich>
      </c:tx>
      <c:layout>
        <c:manualLayout>
          <c:xMode val="edge"/>
          <c:yMode val="edge"/>
          <c:x val="0.19911918582816976"/>
          <c:y val="2.848950754363682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8.9165684016714569E-2"/>
          <c:y val="0.16969448156047282"/>
          <c:w val="0.89055759245357669"/>
          <c:h val="0.75328253571359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'Sähkön kk.kulutus'!$L$10:$M$10</c:f>
              <c:strCache>
                <c:ptCount val="1"/>
                <c:pt idx="0">
                  <c:v>Suoran yhtälö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'Sähkön kk.kulutus'!$L$5:$L$6</c:f>
              <c:numCache>
                <c:formatCode>General</c:formatCode>
                <c:ptCount val="2"/>
                <c:pt idx="0">
                  <c:v>-12.899999999999999</c:v>
                </c:pt>
                <c:pt idx="1">
                  <c:v>31.3</c:v>
                </c:pt>
              </c:numCache>
            </c:numRef>
          </c:xVal>
          <c:yVal>
            <c:numRef>
              <c:f>'Sähkön kk.kulutus'!$M$5:$M$6</c:f>
              <c:numCache>
                <c:formatCode>0.00</c:formatCode>
                <c:ptCount val="2"/>
                <c:pt idx="0">
                  <c:v>47.482330377657405</c:v>
                </c:pt>
                <c:pt idx="1">
                  <c:v>81.561412727032717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'Sähkön kk.kulutus'!$A$4</c:f>
              <c:strCache>
                <c:ptCount val="1"/>
                <c:pt idx="0">
                  <c:v>Tammikuu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kk.kulutus'!$I$4</c:f>
              <c:numCache>
                <c:formatCode>General</c:formatCode>
                <c:ptCount val="1"/>
                <c:pt idx="0">
                  <c:v>18.8</c:v>
                </c:pt>
              </c:numCache>
            </c:numRef>
          </c:xVal>
          <c:yVal>
            <c:numRef>
              <c:f>'Sähkön kk.kulutus'!$E$4</c:f>
              <c:numCache>
                <c:formatCode>0.0</c:formatCode>
                <c:ptCount val="1"/>
                <c:pt idx="0">
                  <c:v>62.096774193548391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'Sähkön kk.kulutus'!$A$5</c:f>
              <c:strCache>
                <c:ptCount val="1"/>
                <c:pt idx="0">
                  <c:v>Helmikuu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5184545970574271E-2"/>
                  <c:y val="-8.3333351560225657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kk.kulutus'!$I$5</c:f>
              <c:numCache>
                <c:formatCode>General</c:formatCode>
                <c:ptCount val="1"/>
                <c:pt idx="0">
                  <c:v>26.3</c:v>
                </c:pt>
              </c:numCache>
            </c:numRef>
          </c:xVal>
          <c:yVal>
            <c:numRef>
              <c:f>'Sähkön kk.kulutus'!$E$5</c:f>
              <c:numCache>
                <c:formatCode>0.0</c:formatCode>
                <c:ptCount val="1"/>
                <c:pt idx="0">
                  <c:v>69.196428571428569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'Sähkön kk.kulutus'!$A$6</c:f>
              <c:strCache>
                <c:ptCount val="1"/>
                <c:pt idx="0">
                  <c:v>Maaliskuu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kk.kulutus'!$I$6</c:f>
              <c:numCache>
                <c:formatCode>General</c:formatCode>
                <c:ptCount val="1"/>
                <c:pt idx="0">
                  <c:v>13.8</c:v>
                </c:pt>
              </c:numCache>
            </c:numRef>
          </c:xVal>
          <c:yVal>
            <c:numRef>
              <c:f>'Sähkön kk.kulutus'!$E$6</c:f>
              <c:numCache>
                <c:formatCode>0.0</c:formatCode>
                <c:ptCount val="1"/>
                <c:pt idx="0">
                  <c:v>71.908602150537646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'Sähkön kk.kulutus'!$A$7</c:f>
              <c:strCache>
                <c:ptCount val="1"/>
                <c:pt idx="0">
                  <c:v>Huhtikuu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6940707319165294E-2"/>
                  <c:y val="-8.3333351560225619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kk.kulutus'!$I$7</c:f>
              <c:numCache>
                <c:formatCode>General</c:formatCode>
                <c:ptCount val="1"/>
                <c:pt idx="0">
                  <c:v>6</c:v>
                </c:pt>
              </c:numCache>
            </c:numRef>
          </c:xVal>
          <c:yVal>
            <c:numRef>
              <c:f>'Sähkön kk.kulutus'!$E$7</c:f>
              <c:numCache>
                <c:formatCode>0.0</c:formatCode>
                <c:ptCount val="1"/>
                <c:pt idx="0">
                  <c:v>55.69444444444445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'Sähkön kk.kulutus'!$A$8</c:f>
              <c:strCache>
                <c:ptCount val="1"/>
                <c:pt idx="0">
                  <c:v>Toukokuu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2.606262664486983E-3"/>
                  <c:y val="2.7777783853408541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kk.kulutus'!$I$8</c:f>
              <c:numCache>
                <c:formatCode>General</c:formatCode>
                <c:ptCount val="1"/>
                <c:pt idx="0">
                  <c:v>1.1999999999999993</c:v>
                </c:pt>
              </c:numCache>
            </c:numRef>
          </c:xVal>
          <c:yVal>
            <c:numRef>
              <c:f>'Sähkön kk.kulutus'!$E$8</c:f>
              <c:numCache>
                <c:formatCode>0.0</c:formatCode>
                <c:ptCount val="1"/>
                <c:pt idx="0">
                  <c:v>21.774193548387096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'Sähkön kk.kulutus'!$A$9</c:f>
              <c:strCache>
                <c:ptCount val="1"/>
                <c:pt idx="0">
                  <c:v>Kesäkuu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0"/>
                  <c:y val="5.833334609215783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kk.kulutus'!$I$9</c:f>
              <c:numCache>
                <c:formatCode>General</c:formatCode>
                <c:ptCount val="1"/>
                <c:pt idx="0">
                  <c:v>-5.6</c:v>
                </c:pt>
              </c:numCache>
            </c:numRef>
          </c:xVal>
          <c:yVal>
            <c:numRef>
              <c:f>'Sähkön kk.kulutus'!$E$9</c:f>
              <c:numCache>
                <c:formatCode>0.0</c:formatCode>
                <c:ptCount val="1"/>
                <c:pt idx="0">
                  <c:v>60.555555555555557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'Sähkön kk.kulutus'!$A$10</c:f>
              <c:strCache>
                <c:ptCount val="1"/>
                <c:pt idx="0">
                  <c:v>Heinäkuu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3031313322434915E-3"/>
                  <c:y val="1.666667031204512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kk.kulutus'!$I$10</c:f>
              <c:numCache>
                <c:formatCode>General</c:formatCode>
                <c:ptCount val="1"/>
                <c:pt idx="0">
                  <c:v>-7.8999999999999986</c:v>
                </c:pt>
              </c:numCache>
            </c:numRef>
          </c:xVal>
          <c:yVal>
            <c:numRef>
              <c:f>'Sähkön kk.kulutus'!$E$10</c:f>
              <c:numCache>
                <c:formatCode>0.0</c:formatCode>
                <c:ptCount val="1"/>
                <c:pt idx="0">
                  <c:v>11.4247311827957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'Sähkön kk.kulutus'!$A$11</c:f>
              <c:strCache>
                <c:ptCount val="1"/>
                <c:pt idx="0">
                  <c:v>Elokuu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8187879934609478E-3"/>
                  <c:y val="-4.722223255079452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kk.kulutus'!$I$11</c:f>
              <c:numCache>
                <c:formatCode>General</c:formatCode>
                <c:ptCount val="1"/>
                <c:pt idx="0">
                  <c:v>-4.3000000000000007</c:v>
                </c:pt>
              </c:numCache>
            </c:numRef>
          </c:xVal>
          <c:yVal>
            <c:numRef>
              <c:f>'Sähkön kk.kulutus'!$E$11</c:f>
              <c:numCache>
                <c:formatCode>0.0</c:formatCode>
                <c:ptCount val="1"/>
                <c:pt idx="0">
                  <c:v>72.043010752688176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'Sähkön kk.kulutus'!$A$12</c:f>
              <c:strCache>
                <c:ptCount val="1"/>
                <c:pt idx="0">
                  <c:v>Syyskuu</c:v>
                </c:pt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>
                    <a:lumMod val="8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1728181990191423E-2"/>
                  <c:y val="-7.500001640420311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kk.kulutus'!$I$12</c:f>
              <c:numCache>
                <c:formatCode>General</c:formatCode>
                <c:ptCount val="1"/>
                <c:pt idx="0">
                  <c:v>-0.69999999999999929</c:v>
                </c:pt>
              </c:numCache>
            </c:numRef>
          </c:xVal>
          <c:yVal>
            <c:numRef>
              <c:f>'Sähkön kk.kulutus'!$E$12</c:f>
              <c:numCache>
                <c:formatCode>0.0</c:formatCode>
                <c:ptCount val="1"/>
                <c:pt idx="0">
                  <c:v>91.666666666666657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'Sähkön kk.kulutus'!$A$13</c:f>
              <c:strCache>
                <c:ptCount val="1"/>
                <c:pt idx="0">
                  <c:v>Lokakuu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3.9093939967304739E-3"/>
                  <c:y val="4.722223255079452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kk.kulutus'!$I$13</c:f>
              <c:numCache>
                <c:formatCode>General</c:formatCode>
                <c:ptCount val="1"/>
                <c:pt idx="0">
                  <c:v>5.3</c:v>
                </c:pt>
              </c:numCache>
            </c:numRef>
          </c:xVal>
          <c:yVal>
            <c:numRef>
              <c:f>'Sähkön kk.kulutus'!$E$13</c:f>
              <c:numCache>
                <c:formatCode>0.0</c:formatCode>
                <c:ptCount val="1"/>
                <c:pt idx="0">
                  <c:v>80.645161290322577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'Sähkön kk.kulutus'!$A$14</c:f>
              <c:strCache>
                <c:ptCount val="1"/>
                <c:pt idx="0">
                  <c:v>Marraskuu</c:v>
                </c:pt>
              </c:strCache>
            </c:strRef>
          </c:tx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5">
                    <a:lumMod val="8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0369091941148626E-2"/>
                  <c:y val="-5.277778932147622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kk.kulutus'!$I$14</c:f>
              <c:numCache>
                <c:formatCode>General</c:formatCode>
                <c:ptCount val="1"/>
                <c:pt idx="0">
                  <c:v>8.5</c:v>
                </c:pt>
              </c:numCache>
            </c:numRef>
          </c:xVal>
          <c:yVal>
            <c:numRef>
              <c:f>'Sähkön kk.kulutus'!$E$14</c:f>
              <c:numCache>
                <c:formatCode>0.0</c:formatCode>
                <c:ptCount val="1"/>
                <c:pt idx="0">
                  <c:v>76.527777777777771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'Sähkön kk.kulutus'!$A$15</c:f>
              <c:strCache>
                <c:ptCount val="1"/>
                <c:pt idx="0">
                  <c:v>Joulukuu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5.2125253289740615E-3"/>
                  <c:y val="1.1111113541363416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kk.kulutus'!$I$15</c:f>
              <c:numCache>
                <c:formatCode>General</c:formatCode>
                <c:ptCount val="1"/>
                <c:pt idx="0">
                  <c:v>10.4</c:v>
                </c:pt>
              </c:numCache>
            </c:numRef>
          </c:xVal>
          <c:yVal>
            <c:numRef>
              <c:f>'Sähkön kk.kulutus'!$E$15</c:f>
              <c:numCache>
                <c:formatCode>0.0</c:formatCode>
                <c:ptCount val="1"/>
                <c:pt idx="0">
                  <c:v>70.967741935483872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4406520"/>
        <c:axId val="433895768"/>
      </c:scatterChart>
      <c:valAx>
        <c:axId val="304406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Sisä</a:t>
                </a:r>
                <a:r>
                  <a:rPr lang="fi-FI" sz="1600" baseline="0"/>
                  <a:t>- ja ulkoilman välinen lämpötilaero [°C]</a:t>
                </a:r>
                <a:endParaRPr lang="fi-FI" sz="16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33895768"/>
        <c:crosses val="autoZero"/>
        <c:crossBetween val="midCat"/>
      </c:valAx>
      <c:valAx>
        <c:axId val="4338957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Sähkön kulutuksen keskiteho [kW]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304406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Sähkön kulutuksen keskitehon suhde kävijämääriin</a:t>
            </a:r>
          </a:p>
        </c:rich>
      </c:tx>
      <c:layout>
        <c:manualLayout>
          <c:xMode val="edge"/>
          <c:yMode val="edge"/>
          <c:x val="0.30617204042457047"/>
          <c:y val="3.6687045685404811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'Sähkön kk.kulutus'!$A$4</c:f>
              <c:strCache>
                <c:ptCount val="1"/>
                <c:pt idx="0">
                  <c:v>Tammikuu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kk.kulutus'!$G$4</c:f>
              <c:numCache>
                <c:formatCode>General</c:formatCode>
                <c:ptCount val="1"/>
                <c:pt idx="0">
                  <c:v>6000</c:v>
                </c:pt>
              </c:numCache>
            </c:numRef>
          </c:xVal>
          <c:yVal>
            <c:numRef>
              <c:f>'Sähkön kk.kulutus'!$E$4</c:f>
              <c:numCache>
                <c:formatCode>0.0</c:formatCode>
                <c:ptCount val="1"/>
                <c:pt idx="0">
                  <c:v>62.096774193548391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'Sähkön kk.kulutus'!$A$5</c:f>
              <c:strCache>
                <c:ptCount val="1"/>
                <c:pt idx="0">
                  <c:v>Helmikuu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kk.kulutus'!$G$5</c:f>
              <c:numCache>
                <c:formatCode>General</c:formatCode>
                <c:ptCount val="1"/>
                <c:pt idx="0">
                  <c:v>5500</c:v>
                </c:pt>
              </c:numCache>
            </c:numRef>
          </c:xVal>
          <c:yVal>
            <c:numRef>
              <c:f>'Sähkön kk.kulutus'!$E$5</c:f>
              <c:numCache>
                <c:formatCode>0.0</c:formatCode>
                <c:ptCount val="1"/>
                <c:pt idx="0">
                  <c:v>69.196428571428569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'Sähkön kk.kulutus'!$A$6</c:f>
              <c:strCache>
                <c:ptCount val="1"/>
                <c:pt idx="0">
                  <c:v>Maaliskuu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kk.kulutus'!$G$6</c:f>
              <c:numCache>
                <c:formatCode>General</c:formatCode>
                <c:ptCount val="1"/>
                <c:pt idx="0">
                  <c:v>5500</c:v>
                </c:pt>
              </c:numCache>
            </c:numRef>
          </c:xVal>
          <c:yVal>
            <c:numRef>
              <c:f>'Sähkön kk.kulutus'!$E$6</c:f>
              <c:numCache>
                <c:formatCode>0.0</c:formatCode>
                <c:ptCount val="1"/>
                <c:pt idx="0">
                  <c:v>71.908602150537646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'Sähkön kk.kulutus'!$A$7</c:f>
              <c:strCache>
                <c:ptCount val="1"/>
                <c:pt idx="0">
                  <c:v>Huhtikuu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kk.kulutus'!$G$7</c:f>
              <c:numCache>
                <c:formatCode>General</c:formatCode>
                <c:ptCount val="1"/>
                <c:pt idx="0">
                  <c:v>4000</c:v>
                </c:pt>
              </c:numCache>
            </c:numRef>
          </c:xVal>
          <c:yVal>
            <c:numRef>
              <c:f>'Sähkön kk.kulutus'!$E$7</c:f>
              <c:numCache>
                <c:formatCode>0.0</c:formatCode>
                <c:ptCount val="1"/>
                <c:pt idx="0">
                  <c:v>55.69444444444445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'Sähkön kk.kulutus'!$A$8</c:f>
              <c:strCache>
                <c:ptCount val="1"/>
                <c:pt idx="0">
                  <c:v>Toukokuu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kk.kulutus'!$G$8</c:f>
              <c:numCache>
                <c:formatCode>General</c:formatCode>
                <c:ptCount val="1"/>
                <c:pt idx="0">
                  <c:v>2000</c:v>
                </c:pt>
              </c:numCache>
            </c:numRef>
          </c:xVal>
          <c:yVal>
            <c:numRef>
              <c:f>'Sähkön kk.kulutus'!$E$8</c:f>
              <c:numCache>
                <c:formatCode>0.0</c:formatCode>
                <c:ptCount val="1"/>
                <c:pt idx="0">
                  <c:v>21.774193548387096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'Sähkön kk.kulutus'!$A$9</c:f>
              <c:strCache>
                <c:ptCount val="1"/>
                <c:pt idx="0">
                  <c:v>Kesäkuu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kk.kulutus'!$G$9</c:f>
              <c:numCache>
                <c:formatCode>General</c:formatCode>
                <c:ptCount val="1"/>
                <c:pt idx="0">
                  <c:v>500</c:v>
                </c:pt>
              </c:numCache>
            </c:numRef>
          </c:xVal>
          <c:yVal>
            <c:numRef>
              <c:f>'Sähkön kk.kulutus'!$E$9</c:f>
              <c:numCache>
                <c:formatCode>0.0</c:formatCode>
                <c:ptCount val="1"/>
                <c:pt idx="0">
                  <c:v>60.555555555555557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'Sähkön kk.kulutus'!$A$10</c:f>
              <c:strCache>
                <c:ptCount val="1"/>
                <c:pt idx="0">
                  <c:v>Heinäkuu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kk.kulutus'!$G$10</c:f>
              <c:numCache>
                <c:formatCode>General</c:formatCode>
                <c:ptCount val="1"/>
                <c:pt idx="0">
                  <c:v>500</c:v>
                </c:pt>
              </c:numCache>
            </c:numRef>
          </c:xVal>
          <c:yVal>
            <c:numRef>
              <c:f>'Sähkön kk.kulutus'!$E$10</c:f>
              <c:numCache>
                <c:formatCode>0.0</c:formatCode>
                <c:ptCount val="1"/>
                <c:pt idx="0">
                  <c:v>11.4247311827957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'Sähkön kk.kulutus'!$A$11</c:f>
              <c:strCache>
                <c:ptCount val="1"/>
                <c:pt idx="0">
                  <c:v>Elokuu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kk.kulutus'!$G$11</c:f>
              <c:numCache>
                <c:formatCode>General</c:formatCode>
                <c:ptCount val="1"/>
                <c:pt idx="0">
                  <c:v>2000</c:v>
                </c:pt>
              </c:numCache>
            </c:numRef>
          </c:xVal>
          <c:yVal>
            <c:numRef>
              <c:f>'Sähkön kk.kulutus'!$E$11</c:f>
              <c:numCache>
                <c:formatCode>0.0</c:formatCode>
                <c:ptCount val="1"/>
                <c:pt idx="0">
                  <c:v>72.043010752688176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'Sähkön kk.kulutus'!$A$12</c:f>
              <c:strCache>
                <c:ptCount val="1"/>
                <c:pt idx="0">
                  <c:v>Syyskuu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kk.kulutus'!$G$12</c:f>
              <c:numCache>
                <c:formatCode>General</c:formatCode>
                <c:ptCount val="1"/>
                <c:pt idx="0">
                  <c:v>4000</c:v>
                </c:pt>
              </c:numCache>
            </c:numRef>
          </c:xVal>
          <c:yVal>
            <c:numRef>
              <c:f>'Sähkön kk.kulutus'!$E$12</c:f>
              <c:numCache>
                <c:formatCode>0.0</c:formatCode>
                <c:ptCount val="1"/>
                <c:pt idx="0">
                  <c:v>91.666666666666657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'Sähkön kk.kulutus'!$A$13</c:f>
              <c:strCache>
                <c:ptCount val="1"/>
                <c:pt idx="0">
                  <c:v>Lokakuu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kk.kulutus'!$G$13</c:f>
              <c:numCache>
                <c:formatCode>General</c:formatCode>
                <c:ptCount val="1"/>
                <c:pt idx="0">
                  <c:v>7000</c:v>
                </c:pt>
              </c:numCache>
            </c:numRef>
          </c:xVal>
          <c:yVal>
            <c:numRef>
              <c:f>'Sähkön kk.kulutus'!$E$13</c:f>
              <c:numCache>
                <c:formatCode>0.0</c:formatCode>
                <c:ptCount val="1"/>
                <c:pt idx="0">
                  <c:v>80.645161290322577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'Sähkön kk.kulutus'!$A$14</c:f>
              <c:strCache>
                <c:ptCount val="1"/>
                <c:pt idx="0">
                  <c:v>Marraskuu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kk.kulutus'!$G$14</c:f>
              <c:numCache>
                <c:formatCode>General</c:formatCode>
                <c:ptCount val="1"/>
                <c:pt idx="0">
                  <c:v>7500</c:v>
                </c:pt>
              </c:numCache>
            </c:numRef>
          </c:xVal>
          <c:yVal>
            <c:numRef>
              <c:f>'Sähkön kk.kulutus'!$E$14</c:f>
              <c:numCache>
                <c:formatCode>0.0</c:formatCode>
                <c:ptCount val="1"/>
                <c:pt idx="0">
                  <c:v>76.527777777777771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'Sähkön kk.kulutus'!$A$15</c:f>
              <c:strCache>
                <c:ptCount val="1"/>
                <c:pt idx="0">
                  <c:v>Joulukuu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'Sähkön kk.kulutus'!$G$15</c:f>
              <c:numCache>
                <c:formatCode>General</c:formatCode>
                <c:ptCount val="1"/>
                <c:pt idx="0">
                  <c:v>8000</c:v>
                </c:pt>
              </c:numCache>
            </c:numRef>
          </c:xVal>
          <c:yVal>
            <c:numRef>
              <c:f>'Sähkön kk.kulutus'!$E$15</c:f>
              <c:numCache>
                <c:formatCode>0.0</c:formatCode>
                <c:ptCount val="1"/>
                <c:pt idx="0">
                  <c:v>70.967741935483872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'Sähkön kk.kulutus'!$P$3</c:f>
              <c:strCache>
                <c:ptCount val="1"/>
                <c:pt idx="0">
                  <c:v>Kulutuksen suhde kävijämääriin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dPt>
            <c:idx val="1"/>
            <c:marker>
              <c:symbol val="circle"/>
              <c:size val="5"/>
              <c:spPr>
                <a:solidFill>
                  <a:schemeClr val="accent1">
                    <a:lumMod val="80000"/>
                    <a:lumOff val="20000"/>
                  </a:schemeClr>
                </a:solidFill>
                <a:ln w="9525">
                  <a:solidFill>
                    <a:schemeClr val="accent1">
                      <a:lumMod val="80000"/>
                      <a:lumOff val="20000"/>
                    </a:schemeClr>
                  </a:solidFill>
                </a:ln>
                <a:effectLst/>
              </c:spPr>
            </c:marker>
            <c:bubble3D val="0"/>
            <c:spPr>
              <a:ln w="25400" cap="rnd">
                <a:solidFill>
                  <a:schemeClr val="accent1"/>
                </a:solidFill>
                <a:prstDash val="sysDash"/>
                <a:round/>
              </a:ln>
              <a:effectLst/>
            </c:spPr>
          </c:dPt>
          <c:xVal>
            <c:numRef>
              <c:f>'Sähkön kk.kulutus'!$O$5:$O$6</c:f>
              <c:numCache>
                <c:formatCode>General</c:formatCode>
                <c:ptCount val="2"/>
                <c:pt idx="0">
                  <c:v>-1500</c:v>
                </c:pt>
                <c:pt idx="1">
                  <c:v>10000</c:v>
                </c:pt>
              </c:numCache>
            </c:numRef>
          </c:xVal>
          <c:yVal>
            <c:numRef>
              <c:f>'Sähkön kk.kulutus'!$P$5:$P$6</c:f>
              <c:numCache>
                <c:formatCode>General</c:formatCode>
                <c:ptCount val="2"/>
                <c:pt idx="0">
                  <c:v>30.522870709983955</c:v>
                </c:pt>
                <c:pt idx="1">
                  <c:v>92.219414750026999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890664"/>
        <c:axId val="434891056"/>
      </c:scatterChart>
      <c:valAx>
        <c:axId val="434890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Kävijämäärä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34891056"/>
        <c:crosses val="autoZero"/>
        <c:crossBetween val="midCat"/>
      </c:valAx>
      <c:valAx>
        <c:axId val="4348910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Sähkön kulutuksenn keskiteho [kW]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348906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Veden kulutuksen suhde sisä- ja ulkoilman väliseen lämpötilaeroon</a:t>
            </a:r>
          </a:p>
        </c:rich>
      </c:tx>
      <c:layout>
        <c:manualLayout>
          <c:xMode val="edge"/>
          <c:yMode val="edge"/>
          <c:x val="0.19911918582816976"/>
          <c:y val="2.848950754363682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>
        <c:manualLayout>
          <c:layoutTarget val="inner"/>
          <c:xMode val="edge"/>
          <c:yMode val="edge"/>
          <c:x val="8.4384019677407815E-2"/>
          <c:y val="0.10302780031229229"/>
          <c:w val="0.88664460595098515"/>
          <c:h val="0.75328253571359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'Veden kk.kulutus'!$A$4</c:f>
              <c:strCache>
                <c:ptCount val="1"/>
                <c:pt idx="0">
                  <c:v>Tammikuu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kk.kulutus'!$F$4</c:f>
              <c:numCache>
                <c:formatCode>General</c:formatCode>
                <c:ptCount val="1"/>
                <c:pt idx="0">
                  <c:v>18.8</c:v>
                </c:pt>
              </c:numCache>
            </c:numRef>
          </c:xVal>
          <c:yVal>
            <c:numRef>
              <c:f>'Veden kk.kulutus'!$B$4</c:f>
              <c:numCache>
                <c:formatCode>General</c:formatCode>
                <c:ptCount val="1"/>
                <c:pt idx="0">
                  <c:v>220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'Veden kk.kulutus'!$A$5</c:f>
              <c:strCache>
                <c:ptCount val="1"/>
                <c:pt idx="0">
                  <c:v>Helmikuu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kk.kulutus'!$F$5</c:f>
              <c:numCache>
                <c:formatCode>General</c:formatCode>
                <c:ptCount val="1"/>
                <c:pt idx="0">
                  <c:v>26.3</c:v>
                </c:pt>
              </c:numCache>
            </c:numRef>
          </c:xVal>
          <c:yVal>
            <c:numRef>
              <c:f>'Veden kk.kulutus'!$B$5</c:f>
              <c:numCache>
                <c:formatCode>General</c:formatCode>
                <c:ptCount val="1"/>
                <c:pt idx="0">
                  <c:v>230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'Veden kk.kulutus'!$A$6</c:f>
              <c:strCache>
                <c:ptCount val="1"/>
                <c:pt idx="0">
                  <c:v>Maaliskuu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kk.kulutus'!$F$6</c:f>
              <c:numCache>
                <c:formatCode>General</c:formatCode>
                <c:ptCount val="1"/>
                <c:pt idx="0">
                  <c:v>13.8</c:v>
                </c:pt>
              </c:numCache>
            </c:numRef>
          </c:xVal>
          <c:yVal>
            <c:numRef>
              <c:f>'Veden kk.kulutus'!$B$6</c:f>
              <c:numCache>
                <c:formatCode>General</c:formatCode>
                <c:ptCount val="1"/>
                <c:pt idx="0">
                  <c:v>180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'Veden kk.kulutus'!$A$7</c:f>
              <c:strCache>
                <c:ptCount val="1"/>
                <c:pt idx="0">
                  <c:v>Huhtikuu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9.3657460253038696E-3"/>
                  <c:y val="-3.3333340624090303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kk.kulutus'!$F$7</c:f>
              <c:numCache>
                <c:formatCode>General</c:formatCode>
                <c:ptCount val="1"/>
                <c:pt idx="0">
                  <c:v>6</c:v>
                </c:pt>
              </c:numCache>
            </c:numRef>
          </c:xVal>
          <c:yVal>
            <c:numRef>
              <c:f>'Veden kk.kulutus'!$B$7</c:f>
              <c:numCache>
                <c:formatCode>General</c:formatCode>
                <c:ptCount val="1"/>
                <c:pt idx="0">
                  <c:v>160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'Veden kk.kulutus'!$A$8</c:f>
              <c:strCache>
                <c:ptCount val="1"/>
                <c:pt idx="0">
                  <c:v>Toukokuu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kk.kulutus'!$F$8</c:f>
              <c:numCache>
                <c:formatCode>General</c:formatCode>
                <c:ptCount val="1"/>
                <c:pt idx="0">
                  <c:v>1.1999999999999993</c:v>
                </c:pt>
              </c:numCache>
            </c:numRef>
          </c:xVal>
          <c:yVal>
            <c:numRef>
              <c:f>'Veden kk.kulutus'!$B$8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'Veden kk.kulutus'!$A$9</c:f>
              <c:strCache>
                <c:ptCount val="1"/>
                <c:pt idx="0">
                  <c:v>Kesäkuu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kk.kulutus'!$F$9</c:f>
              <c:numCache>
                <c:formatCode>General</c:formatCode>
                <c:ptCount val="1"/>
                <c:pt idx="0">
                  <c:v>-5.6</c:v>
                </c:pt>
              </c:numCache>
            </c:numRef>
          </c:xVal>
          <c:yVal>
            <c:numRef>
              <c:f>'Veden kk.kulutus'!$B$9</c:f>
              <c:numCache>
                <c:formatCode>General</c:formatCode>
                <c:ptCount val="1"/>
                <c:pt idx="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'Veden kk.kulutus'!$A$10</c:f>
              <c:strCache>
                <c:ptCount val="1"/>
                <c:pt idx="0">
                  <c:v>Heinäkuu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kk.kulutus'!$F$10</c:f>
              <c:numCache>
                <c:formatCode>General</c:formatCode>
                <c:ptCount val="1"/>
                <c:pt idx="0">
                  <c:v>-7.8999999999999986</c:v>
                </c:pt>
              </c:numCache>
            </c:numRef>
          </c:xVal>
          <c:yVal>
            <c:numRef>
              <c:f>'Veden kk.kulutus'!$B$10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'Veden kk.kulutus'!$A$11</c:f>
              <c:strCache>
                <c:ptCount val="1"/>
                <c:pt idx="0">
                  <c:v>Elokuu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kk.kulutus'!$F$11</c:f>
              <c:numCache>
                <c:formatCode>General</c:formatCode>
                <c:ptCount val="1"/>
                <c:pt idx="0">
                  <c:v>-4.3000000000000007</c:v>
                </c:pt>
              </c:numCache>
            </c:numRef>
          </c:xVal>
          <c:yVal>
            <c:numRef>
              <c:f>'Veden kk.kulutus'!$B$11</c:f>
              <c:numCache>
                <c:formatCode>General</c:formatCode>
                <c:ptCount val="1"/>
                <c:pt idx="0">
                  <c:v>100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'Veden kk.kulutus'!$A$12</c:f>
              <c:strCache>
                <c:ptCount val="1"/>
                <c:pt idx="0">
                  <c:v>Syyskuu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7.80478835441993E-3"/>
                  <c:y val="-5.277778932147617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kk.kulutus'!$F$12</c:f>
              <c:numCache>
                <c:formatCode>General</c:formatCode>
                <c:ptCount val="1"/>
                <c:pt idx="0">
                  <c:v>-0.69999999999999929</c:v>
                </c:pt>
              </c:numCache>
            </c:numRef>
          </c:xVal>
          <c:yVal>
            <c:numRef>
              <c:f>'Veden kk.kulutus'!$B$12</c:f>
              <c:numCache>
                <c:formatCode>General</c:formatCode>
                <c:ptCount val="1"/>
                <c:pt idx="0">
                  <c:v>130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'Veden kk.kulutus'!$A$13</c:f>
              <c:strCache>
                <c:ptCount val="1"/>
                <c:pt idx="0">
                  <c:v>Lokakuu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7.6307900741985311E-3"/>
                  <c:y val="4.6061064151171789E-3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kk.kulutus'!$F$13</c:f>
              <c:numCache>
                <c:formatCode>General</c:formatCode>
                <c:ptCount val="1"/>
                <c:pt idx="0">
                  <c:v>5.3</c:v>
                </c:pt>
              </c:numCache>
            </c:numRef>
          </c:xVal>
          <c:yVal>
            <c:numRef>
              <c:f>'Veden kk.kulutus'!$B$13</c:f>
              <c:numCache>
                <c:formatCode>General</c:formatCode>
                <c:ptCount val="1"/>
                <c:pt idx="0">
                  <c:v>160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'Veden kk.kulutus'!$A$14</c:f>
              <c:strCache>
                <c:ptCount val="1"/>
                <c:pt idx="0">
                  <c:v>Marraskuu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kk.kulutus'!$F$14</c:f>
              <c:numCache>
                <c:formatCode>General</c:formatCode>
                <c:ptCount val="1"/>
                <c:pt idx="0">
                  <c:v>8.5</c:v>
                </c:pt>
              </c:numCache>
            </c:numRef>
          </c:xVal>
          <c:yVal>
            <c:numRef>
              <c:f>'Veden kk.kulutus'!$B$14</c:f>
              <c:numCache>
                <c:formatCode>General</c:formatCode>
                <c:ptCount val="1"/>
                <c:pt idx="0">
                  <c:v>180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'Veden kk.kulutus'!$A$15</c:f>
              <c:strCache>
                <c:ptCount val="1"/>
                <c:pt idx="0">
                  <c:v>Joulukuu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kk.kulutus'!$F$15</c:f>
              <c:numCache>
                <c:formatCode>General</c:formatCode>
                <c:ptCount val="1"/>
                <c:pt idx="0">
                  <c:v>10.4</c:v>
                </c:pt>
              </c:numCache>
            </c:numRef>
          </c:xVal>
          <c:yVal>
            <c:numRef>
              <c:f>'Veden kk.kulutus'!$B$15</c:f>
              <c:numCache>
                <c:formatCode>General</c:formatCode>
                <c:ptCount val="1"/>
                <c:pt idx="0">
                  <c:v>200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'Veden kk.kulutus'!$J$3</c:f>
              <c:strCache>
                <c:ptCount val="1"/>
                <c:pt idx="0">
                  <c:v>Lämpötilaeron ja kulutuksen välinen suhde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accent1">
                    <a:lumMod val="60000"/>
                    <a:lumOff val="40000"/>
                  </a:schemeClr>
                </a:solidFill>
              </a:ln>
              <a:effectLst/>
            </c:spPr>
          </c:marker>
          <c:xVal>
            <c:numRef>
              <c:f>'Veden kk.kulutus'!$I$5:$I$6</c:f>
              <c:numCache>
                <c:formatCode>General</c:formatCode>
                <c:ptCount val="2"/>
                <c:pt idx="0">
                  <c:v>-12.899999999999999</c:v>
                </c:pt>
                <c:pt idx="1">
                  <c:v>31.3</c:v>
                </c:pt>
              </c:numCache>
            </c:numRef>
          </c:xVal>
          <c:yVal>
            <c:numRef>
              <c:f>'Veden kk.kulutus'!$J$5:$J$6</c:f>
              <c:numCache>
                <c:formatCode>0.00</c:formatCode>
                <c:ptCount val="2"/>
                <c:pt idx="0">
                  <c:v>33.029819946937138</c:v>
                </c:pt>
                <c:pt idx="1">
                  <c:v>287.31483098023165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4892232"/>
        <c:axId val="435404208"/>
      </c:scatterChart>
      <c:valAx>
        <c:axId val="434892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Sisä</a:t>
                </a:r>
                <a:r>
                  <a:rPr lang="fi-FI" sz="1600" baseline="0"/>
                  <a:t>- ja ulkoilman välinen lämpötilaero [°C]</a:t>
                </a:r>
                <a:endParaRPr lang="fi-FI" sz="1600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35404208"/>
        <c:crosses val="autoZero"/>
        <c:crossBetween val="midCat"/>
      </c:valAx>
      <c:valAx>
        <c:axId val="4354042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Veden kulutus [m3]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34892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Veden kulutuksen suhde kävijämääriin</a:t>
            </a:r>
          </a:p>
        </c:rich>
      </c:tx>
      <c:layout>
        <c:manualLayout>
          <c:xMode val="edge"/>
          <c:yMode val="edge"/>
          <c:x val="0.35143978679530596"/>
          <c:y val="2.795678129587828E-2"/>
        </c:manualLayout>
      </c:layout>
      <c:overlay val="0"/>
      <c:spPr>
        <a:noFill/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i-FI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'Veden kk.kulutus'!$A$4</c:f>
              <c:strCache>
                <c:ptCount val="1"/>
                <c:pt idx="0">
                  <c:v>Tammikuu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kk.kulutus'!$D$4</c:f>
              <c:numCache>
                <c:formatCode>General</c:formatCode>
                <c:ptCount val="1"/>
                <c:pt idx="0">
                  <c:v>6000</c:v>
                </c:pt>
              </c:numCache>
            </c:numRef>
          </c:xVal>
          <c:yVal>
            <c:numRef>
              <c:f>'Veden kk.kulutus'!$B$4</c:f>
              <c:numCache>
                <c:formatCode>General</c:formatCode>
                <c:ptCount val="1"/>
                <c:pt idx="0">
                  <c:v>220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'Veden kk.kulutus'!$A$5</c:f>
              <c:strCache>
                <c:ptCount val="1"/>
                <c:pt idx="0">
                  <c:v>Helmikuu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kk.kulutus'!$D$5</c:f>
              <c:numCache>
                <c:formatCode>General</c:formatCode>
                <c:ptCount val="1"/>
                <c:pt idx="0">
                  <c:v>5500</c:v>
                </c:pt>
              </c:numCache>
            </c:numRef>
          </c:xVal>
          <c:yVal>
            <c:numRef>
              <c:f>'Veden kk.kulutus'!$B$5</c:f>
              <c:numCache>
                <c:formatCode>General</c:formatCode>
                <c:ptCount val="1"/>
                <c:pt idx="0">
                  <c:v>230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'Veden kk.kulutus'!$A$6</c:f>
              <c:strCache>
                <c:ptCount val="1"/>
                <c:pt idx="0">
                  <c:v>Maaliskuu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kk.kulutus'!$D$6</c:f>
              <c:numCache>
                <c:formatCode>General</c:formatCode>
                <c:ptCount val="1"/>
                <c:pt idx="0">
                  <c:v>5500</c:v>
                </c:pt>
              </c:numCache>
            </c:numRef>
          </c:xVal>
          <c:yVal>
            <c:numRef>
              <c:f>'Veden kk.kulutus'!$B$6</c:f>
              <c:numCache>
                <c:formatCode>General</c:formatCode>
                <c:ptCount val="1"/>
                <c:pt idx="0">
                  <c:v>180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'Veden kk.kulutus'!$A$7</c:f>
              <c:strCache>
                <c:ptCount val="1"/>
                <c:pt idx="0">
                  <c:v>Huhtikuu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kk.kulutus'!$D$7</c:f>
              <c:numCache>
                <c:formatCode>General</c:formatCode>
                <c:ptCount val="1"/>
                <c:pt idx="0">
                  <c:v>4000</c:v>
                </c:pt>
              </c:numCache>
            </c:numRef>
          </c:xVal>
          <c:yVal>
            <c:numRef>
              <c:f>'Veden kk.kulutus'!$B$7</c:f>
              <c:numCache>
                <c:formatCode>General</c:formatCode>
                <c:ptCount val="1"/>
                <c:pt idx="0">
                  <c:v>160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'Veden kk.kulutus'!$A$8</c:f>
              <c:strCache>
                <c:ptCount val="1"/>
                <c:pt idx="0">
                  <c:v>Toukokuu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kk.kulutus'!$D$8</c:f>
              <c:numCache>
                <c:formatCode>General</c:formatCode>
                <c:ptCount val="1"/>
                <c:pt idx="0">
                  <c:v>2000</c:v>
                </c:pt>
              </c:numCache>
            </c:numRef>
          </c:xVal>
          <c:yVal>
            <c:numRef>
              <c:f>'Veden kk.kulutus'!$B$8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'Veden kk.kulutus'!$A$9</c:f>
              <c:strCache>
                <c:ptCount val="1"/>
                <c:pt idx="0">
                  <c:v>Kesäkuu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kk.kulutus'!$D$9</c:f>
              <c:numCache>
                <c:formatCode>General</c:formatCode>
                <c:ptCount val="1"/>
                <c:pt idx="0">
                  <c:v>500</c:v>
                </c:pt>
              </c:numCache>
            </c:numRef>
          </c:xVal>
          <c:yVal>
            <c:numRef>
              <c:f>'Veden kk.kulutus'!$B$9</c:f>
              <c:numCache>
                <c:formatCode>General</c:formatCode>
                <c:ptCount val="1"/>
                <c:pt idx="0">
                  <c:v>100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'Veden kk.kulutus'!$A$10</c:f>
              <c:strCache>
                <c:ptCount val="1"/>
                <c:pt idx="0">
                  <c:v>Heinäkuu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kk.kulutus'!$D$10</c:f>
              <c:numCache>
                <c:formatCode>General</c:formatCode>
                <c:ptCount val="1"/>
                <c:pt idx="0">
                  <c:v>500</c:v>
                </c:pt>
              </c:numCache>
            </c:numRef>
          </c:xVal>
          <c:yVal>
            <c:numRef>
              <c:f>'Veden kk.kulutus'!$B$10</c:f>
              <c:numCache>
                <c:formatCode>General</c:formatCode>
                <c:ptCount val="1"/>
                <c:pt idx="0">
                  <c:v>20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'Veden kk.kulutus'!$A$11</c:f>
              <c:strCache>
                <c:ptCount val="1"/>
                <c:pt idx="0">
                  <c:v>Elokuu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kk.kulutus'!$D$11</c:f>
              <c:numCache>
                <c:formatCode>General</c:formatCode>
                <c:ptCount val="1"/>
                <c:pt idx="0">
                  <c:v>2000</c:v>
                </c:pt>
              </c:numCache>
            </c:numRef>
          </c:xVal>
          <c:yVal>
            <c:numRef>
              <c:f>'Veden kk.kulutus'!$B$11</c:f>
              <c:numCache>
                <c:formatCode>General</c:formatCode>
                <c:ptCount val="1"/>
                <c:pt idx="0">
                  <c:v>100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'Veden kk.kulutus'!$A$12</c:f>
              <c:strCache>
                <c:ptCount val="1"/>
                <c:pt idx="0">
                  <c:v>Syyskuu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kk.kulutus'!$D$12</c:f>
              <c:numCache>
                <c:formatCode>General</c:formatCode>
                <c:ptCount val="1"/>
                <c:pt idx="0">
                  <c:v>4000</c:v>
                </c:pt>
              </c:numCache>
            </c:numRef>
          </c:xVal>
          <c:yVal>
            <c:numRef>
              <c:f>'Veden kk.kulutus'!$B$12</c:f>
              <c:numCache>
                <c:formatCode>General</c:formatCode>
                <c:ptCount val="1"/>
                <c:pt idx="0">
                  <c:v>130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'Veden kk.kulutus'!$A$13</c:f>
              <c:strCache>
                <c:ptCount val="1"/>
                <c:pt idx="0">
                  <c:v>Lokakuu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5609576708838829E-3"/>
                  <c:y val="4.6561410077474691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kk.kulutus'!$D$13</c:f>
              <c:numCache>
                <c:formatCode>General</c:formatCode>
                <c:ptCount val="1"/>
                <c:pt idx="0">
                  <c:v>7000</c:v>
                </c:pt>
              </c:numCache>
            </c:numRef>
          </c:xVal>
          <c:yVal>
            <c:numRef>
              <c:f>'Veden kk.kulutus'!$B$13</c:f>
              <c:numCache>
                <c:formatCode>General</c:formatCode>
                <c:ptCount val="1"/>
                <c:pt idx="0">
                  <c:v>160</c:v>
                </c:pt>
              </c:numCache>
            </c:numRef>
          </c:yVal>
          <c:smooth val="0"/>
        </c:ser>
        <c:ser>
          <c:idx val="10"/>
          <c:order val="10"/>
          <c:tx>
            <c:strRef>
              <c:f>'Veden kk.kulutus'!$A$14</c:f>
              <c:strCache>
                <c:ptCount val="1"/>
                <c:pt idx="0">
                  <c:v>Marraskuu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kk.kulutus'!$D$14</c:f>
              <c:numCache>
                <c:formatCode>General</c:formatCode>
                <c:ptCount val="1"/>
                <c:pt idx="0">
                  <c:v>7500</c:v>
                </c:pt>
              </c:numCache>
            </c:numRef>
          </c:xVal>
          <c:yVal>
            <c:numRef>
              <c:f>'Veden kk.kulutus'!$B$14</c:f>
              <c:numCache>
                <c:formatCode>General</c:formatCode>
                <c:ptCount val="1"/>
                <c:pt idx="0">
                  <c:v>180</c:v>
                </c:pt>
              </c:numCache>
            </c:numRef>
          </c:yVal>
          <c:smooth val="0"/>
        </c:ser>
        <c:ser>
          <c:idx val="11"/>
          <c:order val="11"/>
          <c:tx>
            <c:strRef>
              <c:f>'Veden kk.kulutus'!$A$15</c:f>
              <c:strCache>
                <c:ptCount val="1"/>
                <c:pt idx="0">
                  <c:v>Joulukuu</c:v>
                </c:pt>
              </c:strCache>
            </c:strRef>
          </c:tx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i-FI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'Veden kk.kulutus'!$D$15</c:f>
              <c:numCache>
                <c:formatCode>General</c:formatCode>
                <c:ptCount val="1"/>
                <c:pt idx="0">
                  <c:v>8000</c:v>
                </c:pt>
              </c:numCache>
            </c:numRef>
          </c:xVal>
          <c:yVal>
            <c:numRef>
              <c:f>'Veden kk.kulutus'!$B$15</c:f>
              <c:numCache>
                <c:formatCode>General</c:formatCode>
                <c:ptCount val="1"/>
                <c:pt idx="0">
                  <c:v>200</c:v>
                </c:pt>
              </c:numCache>
            </c:numRef>
          </c:yVal>
          <c:smooth val="0"/>
        </c:ser>
        <c:ser>
          <c:idx val="12"/>
          <c:order val="12"/>
          <c:tx>
            <c:strRef>
              <c:f>'Veden kk.kulutus'!$M$3</c:f>
              <c:strCache>
                <c:ptCount val="1"/>
                <c:pt idx="0">
                  <c:v>Kulutuksen suhde kävijämääriin</c:v>
                </c:pt>
              </c:strCache>
            </c:strRef>
          </c:tx>
          <c:spPr>
            <a:ln w="2540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80000"/>
                  <a:lumOff val="20000"/>
                </a:schemeClr>
              </a:solidFill>
              <a:ln w="9525">
                <a:solidFill>
                  <a:schemeClr val="accent1">
                    <a:lumMod val="80000"/>
                    <a:lumOff val="20000"/>
                  </a:schemeClr>
                </a:solidFill>
              </a:ln>
              <a:effectLst/>
            </c:spPr>
          </c:marker>
          <c:xVal>
            <c:numRef>
              <c:f>'Veden kk.kulutus'!$L$5:$L$6</c:f>
              <c:numCache>
                <c:formatCode>General</c:formatCode>
                <c:ptCount val="2"/>
                <c:pt idx="0">
                  <c:v>-1500</c:v>
                </c:pt>
                <c:pt idx="1">
                  <c:v>10000</c:v>
                </c:pt>
              </c:numCache>
            </c:numRef>
          </c:xVal>
          <c:yVal>
            <c:numRef>
              <c:f>'Veden kk.kulutus'!$M$5:$M$6</c:f>
              <c:numCache>
                <c:formatCode>General</c:formatCode>
                <c:ptCount val="2"/>
                <c:pt idx="0">
                  <c:v>13.711564625850301</c:v>
                </c:pt>
                <c:pt idx="1">
                  <c:v>264.17687074829934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5404992"/>
        <c:axId val="435405384"/>
      </c:scatterChart>
      <c:valAx>
        <c:axId val="435404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Kävijämäärä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35405384"/>
        <c:crosses val="autoZero"/>
        <c:crossBetween val="midCat"/>
      </c:valAx>
      <c:valAx>
        <c:axId val="43540538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i-FI" sz="1600"/>
                  <a:t>Veden kulutus [m3]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i-F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i-FI"/>
          </a:p>
        </c:txPr>
        <c:crossAx val="4354049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i-F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95250</xdr:rowOff>
    </xdr:from>
    <xdr:to>
      <xdr:col>11</xdr:col>
      <xdr:colOff>428625</xdr:colOff>
      <xdr:row>39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161926</xdr:colOff>
      <xdr:row>40</xdr:row>
      <xdr:rowOff>169770</xdr:rowOff>
    </xdr:from>
    <xdr:to>
      <xdr:col>11</xdr:col>
      <xdr:colOff>447675</xdr:colOff>
      <xdr:row>63</xdr:row>
      <xdr:rowOff>123826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17</xdr:row>
      <xdr:rowOff>152401</xdr:rowOff>
    </xdr:from>
    <xdr:to>
      <xdr:col>11</xdr:col>
      <xdr:colOff>476250</xdr:colOff>
      <xdr:row>40</xdr:row>
      <xdr:rowOff>152400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114301</xdr:colOff>
      <xdr:row>42</xdr:row>
      <xdr:rowOff>17369</xdr:rowOff>
    </xdr:from>
    <xdr:to>
      <xdr:col>11</xdr:col>
      <xdr:colOff>485775</xdr:colOff>
      <xdr:row>64</xdr:row>
      <xdr:rowOff>152400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347381</xdr:colOff>
      <xdr:row>17</xdr:row>
      <xdr:rowOff>89647</xdr:rowOff>
    </xdr:from>
    <xdr:to>
      <xdr:col>10</xdr:col>
      <xdr:colOff>0</xdr:colOff>
      <xdr:row>39</xdr:row>
      <xdr:rowOff>95250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314325</xdr:colOff>
      <xdr:row>40</xdr:row>
      <xdr:rowOff>119342</xdr:rowOff>
    </xdr:from>
    <xdr:to>
      <xdr:col>9</xdr:col>
      <xdr:colOff>1485900</xdr:colOff>
      <xdr:row>62</xdr:row>
      <xdr:rowOff>66675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abSelected="1" workbookViewId="0">
      <selection activeCell="B2" sqref="B2"/>
    </sheetView>
  </sheetViews>
  <sheetFormatPr defaultRowHeight="15" x14ac:dyDescent="0.25"/>
  <cols>
    <col min="6" max="6" width="16.42578125" customWidth="1"/>
    <col min="7" max="7" width="16" customWidth="1"/>
    <col min="8" max="8" width="12.5703125" customWidth="1"/>
  </cols>
  <sheetData>
    <row r="1" spans="1:12" ht="23.25" x14ac:dyDescent="0.35">
      <c r="A1" s="75" t="s">
        <v>47</v>
      </c>
      <c r="B1" s="75"/>
      <c r="C1" s="75"/>
      <c r="D1" s="75"/>
      <c r="E1" s="75"/>
      <c r="F1" s="75"/>
      <c r="G1" s="75"/>
      <c r="H1" s="75"/>
    </row>
    <row r="2" spans="1:12" ht="15.75" x14ac:dyDescent="0.25">
      <c r="A2" s="35" t="s">
        <v>48</v>
      </c>
      <c r="B2" s="35">
        <v>2011</v>
      </c>
      <c r="C2" s="76" t="s">
        <v>49</v>
      </c>
      <c r="D2" s="76"/>
      <c r="E2" s="76"/>
      <c r="F2" s="76"/>
      <c r="G2" s="76"/>
      <c r="H2" s="76"/>
    </row>
    <row r="3" spans="1:12" ht="18.75" x14ac:dyDescent="0.3">
      <c r="A3" s="70" t="s">
        <v>50</v>
      </c>
      <c r="B3" s="70"/>
      <c r="C3" s="70"/>
      <c r="D3" s="70"/>
      <c r="E3" s="70"/>
      <c r="F3" s="70"/>
      <c r="G3" s="70"/>
      <c r="H3" s="70"/>
    </row>
    <row r="4" spans="1:12" ht="15.75" x14ac:dyDescent="0.25">
      <c r="A4" s="74" t="s">
        <v>51</v>
      </c>
      <c r="B4" s="74"/>
      <c r="C4" s="74"/>
      <c r="D4" s="74"/>
      <c r="E4" s="74"/>
      <c r="F4" s="74"/>
      <c r="G4" s="36"/>
      <c r="H4" s="35"/>
    </row>
    <row r="5" spans="1:12" ht="15.75" x14ac:dyDescent="0.25">
      <c r="A5" s="74" t="s">
        <v>52</v>
      </c>
      <c r="B5" s="74"/>
      <c r="C5" s="74"/>
      <c r="D5" s="74"/>
      <c r="E5" s="74"/>
      <c r="F5" s="74"/>
      <c r="G5" s="36">
        <v>3000</v>
      </c>
      <c r="H5" s="35" t="s">
        <v>53</v>
      </c>
      <c r="L5" s="37"/>
    </row>
    <row r="6" spans="1:12" x14ac:dyDescent="0.25">
      <c r="A6" s="66" t="s">
        <v>54</v>
      </c>
      <c r="B6" s="66"/>
      <c r="C6" s="66"/>
      <c r="D6" s="66"/>
      <c r="E6" s="66"/>
      <c r="F6" s="66"/>
      <c r="G6" s="71" t="s">
        <v>78</v>
      </c>
      <c r="H6" s="71"/>
    </row>
    <row r="7" spans="1:12" x14ac:dyDescent="0.25">
      <c r="A7" s="66"/>
      <c r="B7" s="66"/>
      <c r="C7" s="66"/>
      <c r="D7" s="66"/>
      <c r="E7" s="66"/>
      <c r="F7" s="66"/>
      <c r="G7" s="71"/>
      <c r="H7" s="71"/>
    </row>
    <row r="8" spans="1:12" ht="15.75" x14ac:dyDescent="0.25">
      <c r="A8" s="69" t="s">
        <v>55</v>
      </c>
      <c r="B8" s="69"/>
      <c r="C8" s="69"/>
      <c r="D8" s="69"/>
      <c r="E8" s="69"/>
      <c r="F8" s="69"/>
      <c r="G8" s="71" t="s">
        <v>79</v>
      </c>
      <c r="H8" s="71"/>
    </row>
    <row r="9" spans="1:12" ht="18.75" x14ac:dyDescent="0.3">
      <c r="A9" s="72" t="s">
        <v>56</v>
      </c>
      <c r="B9" s="72"/>
      <c r="C9" s="72"/>
      <c r="D9" s="72"/>
      <c r="E9" s="72"/>
      <c r="F9" s="72"/>
      <c r="G9" s="72"/>
      <c r="H9" s="72"/>
    </row>
    <row r="10" spans="1:12" ht="15.75" x14ac:dyDescent="0.25">
      <c r="A10" s="73" t="s">
        <v>57</v>
      </c>
      <c r="B10" s="73"/>
      <c r="C10" s="73"/>
      <c r="D10" s="73"/>
      <c r="E10" s="73"/>
      <c r="F10" s="73"/>
      <c r="G10" s="73"/>
      <c r="H10" s="73"/>
    </row>
    <row r="11" spans="1:12" ht="15.75" x14ac:dyDescent="0.25">
      <c r="A11" s="69" t="s">
        <v>58</v>
      </c>
      <c r="B11" s="69"/>
      <c r="C11" s="69"/>
      <c r="D11" s="69"/>
      <c r="E11" s="69"/>
      <c r="F11" s="69"/>
      <c r="G11" s="38">
        <f>'Kaukolämmön kk.kulutus'!B16</f>
        <v>528.70000000000005</v>
      </c>
      <c r="H11" s="35" t="s">
        <v>42</v>
      </c>
    </row>
    <row r="12" spans="1:12" ht="15.75" x14ac:dyDescent="0.25">
      <c r="A12" s="69" t="s">
        <v>59</v>
      </c>
      <c r="B12" s="69"/>
      <c r="C12" s="69"/>
      <c r="D12" s="69"/>
      <c r="E12" s="69"/>
      <c r="F12" s="69"/>
      <c r="G12" s="39">
        <f>IFERROR((G11*1000/G5),"-")</f>
        <v>176.23333333333332</v>
      </c>
      <c r="H12" s="35" t="s">
        <v>60</v>
      </c>
    </row>
    <row r="13" spans="1:12" ht="15.75" x14ac:dyDescent="0.25">
      <c r="A13" s="69" t="s">
        <v>61</v>
      </c>
      <c r="B13" s="69"/>
      <c r="C13" s="69"/>
      <c r="D13" s="69"/>
      <c r="E13" s="69"/>
      <c r="F13" s="69"/>
      <c r="G13" s="39">
        <f>IFERROR('Kaukolämmön kk.kulutus'!J16,"-")</f>
        <v>11.426908369408368</v>
      </c>
      <c r="H13" s="35" t="s">
        <v>45</v>
      </c>
    </row>
    <row r="14" spans="1:12" ht="15.75" x14ac:dyDescent="0.25">
      <c r="A14" s="69" t="s">
        <v>62</v>
      </c>
      <c r="B14" s="69"/>
      <c r="C14" s="69"/>
      <c r="D14" s="69"/>
      <c r="E14" s="69"/>
      <c r="F14" s="69"/>
      <c r="G14" s="38">
        <f>'Sähkön kk.kulutus'!B16</f>
        <v>542.1</v>
      </c>
      <c r="H14" s="35" t="s">
        <v>42</v>
      </c>
    </row>
    <row r="15" spans="1:12" ht="15.75" x14ac:dyDescent="0.25">
      <c r="A15" s="69" t="s">
        <v>63</v>
      </c>
      <c r="B15" s="69"/>
      <c r="C15" s="69"/>
      <c r="D15" s="69"/>
      <c r="E15" s="69"/>
      <c r="F15" s="69"/>
      <c r="G15" s="39">
        <f>IFERROR((G14*1000/G5),"-")</f>
        <v>180.7</v>
      </c>
      <c r="H15" s="35" t="s">
        <v>60</v>
      </c>
    </row>
    <row r="16" spans="1:12" ht="15.75" x14ac:dyDescent="0.25">
      <c r="A16" s="69" t="s">
        <v>64</v>
      </c>
      <c r="B16" s="69"/>
      <c r="C16" s="69"/>
      <c r="D16" s="69"/>
      <c r="E16" s="69"/>
      <c r="F16" s="69"/>
      <c r="G16" s="39">
        <f>IFERROR('Sähkön kk.kulutus'!J16,"-")</f>
        <v>17.835409451659455</v>
      </c>
      <c r="H16" s="35" t="s">
        <v>45</v>
      </c>
    </row>
    <row r="17" spans="1:8" ht="15.75" x14ac:dyDescent="0.25">
      <c r="A17" s="69" t="s">
        <v>65</v>
      </c>
      <c r="B17" s="69"/>
      <c r="C17" s="69"/>
      <c r="D17" s="69"/>
      <c r="E17" s="69"/>
      <c r="F17" s="69"/>
      <c r="G17" s="38">
        <f>'Veden kk.kulutus'!B16</f>
        <v>1700</v>
      </c>
      <c r="H17" s="35" t="s">
        <v>43</v>
      </c>
    </row>
    <row r="18" spans="1:8" ht="15.75" x14ac:dyDescent="0.25">
      <c r="A18" s="69" t="s">
        <v>66</v>
      </c>
      <c r="B18" s="69"/>
      <c r="C18" s="69"/>
      <c r="D18" s="69"/>
      <c r="E18" s="69"/>
      <c r="F18" s="69"/>
      <c r="G18" s="39">
        <f>IFERROR((G17*1000/G5),"-")</f>
        <v>566.66666666666663</v>
      </c>
      <c r="H18" s="35" t="s">
        <v>67</v>
      </c>
    </row>
    <row r="19" spans="1:8" ht="15.75" x14ac:dyDescent="0.25">
      <c r="A19" s="69" t="s">
        <v>68</v>
      </c>
      <c r="B19" s="69"/>
      <c r="C19" s="69"/>
      <c r="D19" s="69"/>
      <c r="E19" s="69"/>
      <c r="F19" s="69"/>
      <c r="G19" s="39">
        <f>IFERROR('Veden kk.kulutus'!G16,"-")</f>
        <v>46.29743867243868</v>
      </c>
      <c r="H19" s="35" t="s">
        <v>41</v>
      </c>
    </row>
    <row r="20" spans="1:8" ht="18.75" x14ac:dyDescent="0.3">
      <c r="A20" s="70" t="s">
        <v>69</v>
      </c>
      <c r="B20" s="70"/>
      <c r="C20" s="70"/>
      <c r="D20" s="70"/>
      <c r="E20" s="70"/>
      <c r="F20" s="70"/>
      <c r="G20" s="70"/>
      <c r="H20" s="70"/>
    </row>
    <row r="21" spans="1:8" ht="15.75" x14ac:dyDescent="0.25">
      <c r="A21" s="69" t="s">
        <v>70</v>
      </c>
      <c r="B21" s="69"/>
      <c r="C21" s="69"/>
      <c r="D21" s="69"/>
      <c r="E21" s="69"/>
      <c r="F21" s="69"/>
      <c r="G21" s="67">
        <v>2.5</v>
      </c>
      <c r="H21" s="35"/>
    </row>
    <row r="22" spans="1:8" ht="15.75" x14ac:dyDescent="0.25">
      <c r="A22" s="69"/>
      <c r="B22" s="69"/>
      <c r="C22" s="69"/>
      <c r="D22" s="69"/>
      <c r="E22" s="69"/>
      <c r="F22" s="69"/>
      <c r="G22" s="67"/>
      <c r="H22" s="35"/>
    </row>
    <row r="23" spans="1:8" ht="15.75" x14ac:dyDescent="0.25">
      <c r="A23" s="66" t="s">
        <v>71</v>
      </c>
      <c r="B23" s="66"/>
      <c r="C23" s="66"/>
      <c r="D23" s="66"/>
      <c r="E23" s="66"/>
      <c r="F23" s="66"/>
      <c r="G23" s="67">
        <v>1</v>
      </c>
      <c r="H23" s="35"/>
    </row>
    <row r="24" spans="1:8" ht="15.75" x14ac:dyDescent="0.25">
      <c r="A24" s="66"/>
      <c r="B24" s="66"/>
      <c r="C24" s="66"/>
      <c r="D24" s="66"/>
      <c r="E24" s="66"/>
      <c r="F24" s="66"/>
      <c r="G24" s="67"/>
      <c r="H24" s="35"/>
    </row>
    <row r="25" spans="1:8" ht="15.75" x14ac:dyDescent="0.25">
      <c r="A25" s="51" t="s">
        <v>76</v>
      </c>
      <c r="B25" s="52"/>
      <c r="C25" s="52"/>
      <c r="D25" s="52"/>
      <c r="E25" s="52"/>
      <c r="F25" s="53"/>
      <c r="G25" s="40">
        <v>3</v>
      </c>
      <c r="H25" s="35" t="s">
        <v>72</v>
      </c>
    </row>
    <row r="26" spans="1:8" ht="15.75" x14ac:dyDescent="0.25">
      <c r="A26" s="54"/>
      <c r="B26" s="55"/>
      <c r="C26" s="55"/>
      <c r="D26" s="55"/>
      <c r="E26" s="55"/>
      <c r="F26" s="56"/>
      <c r="G26" s="43" t="s">
        <v>80</v>
      </c>
      <c r="H26" s="35" t="s">
        <v>72</v>
      </c>
    </row>
    <row r="27" spans="1:8" x14ac:dyDescent="0.25">
      <c r="A27" s="41"/>
      <c r="B27" s="41"/>
      <c r="C27" s="41"/>
      <c r="D27" s="41"/>
      <c r="E27" s="41"/>
      <c r="F27" s="41"/>
      <c r="G27" s="42"/>
      <c r="H27" s="42"/>
    </row>
    <row r="28" spans="1:8" ht="38.25" customHeight="1" x14ac:dyDescent="0.25">
      <c r="A28" s="68" t="s">
        <v>73</v>
      </c>
      <c r="B28" s="68"/>
      <c r="C28" s="68"/>
      <c r="D28" s="68"/>
      <c r="E28" s="68"/>
      <c r="F28" s="68"/>
      <c r="G28" s="68"/>
      <c r="H28" s="68"/>
    </row>
    <row r="29" spans="1:8" ht="153.75" customHeight="1" x14ac:dyDescent="0.25">
      <c r="A29" s="57"/>
      <c r="B29" s="58"/>
      <c r="C29" s="58"/>
      <c r="D29" s="58"/>
      <c r="E29" s="58"/>
      <c r="F29" s="58"/>
      <c r="G29" s="58"/>
      <c r="H29" s="59"/>
    </row>
    <row r="30" spans="1:8" ht="56.25" customHeight="1" x14ac:dyDescent="0.25">
      <c r="A30" s="60" t="s">
        <v>74</v>
      </c>
      <c r="B30" s="61"/>
      <c r="C30" s="61"/>
      <c r="D30" s="61"/>
      <c r="E30" s="61"/>
      <c r="F30" s="61"/>
      <c r="G30" s="61"/>
      <c r="H30" s="62"/>
    </row>
    <row r="31" spans="1:8" ht="131.25" customHeight="1" x14ac:dyDescent="0.25">
      <c r="A31" s="63"/>
      <c r="B31" s="64"/>
      <c r="C31" s="64"/>
      <c r="D31" s="64"/>
      <c r="E31" s="64"/>
      <c r="F31" s="64"/>
      <c r="G31" s="64"/>
      <c r="H31" s="65"/>
    </row>
    <row r="32" spans="1:8" ht="59.25" customHeight="1" x14ac:dyDescent="0.25">
      <c r="A32" s="60" t="s">
        <v>75</v>
      </c>
      <c r="B32" s="61"/>
      <c r="C32" s="61"/>
      <c r="D32" s="61"/>
      <c r="E32" s="61"/>
      <c r="F32" s="61"/>
      <c r="G32" s="61"/>
      <c r="H32" s="62"/>
    </row>
    <row r="33" spans="1:8" ht="192.75" customHeight="1" x14ac:dyDescent="0.25">
      <c r="A33" s="50"/>
      <c r="B33" s="50"/>
      <c r="C33" s="50"/>
      <c r="D33" s="50"/>
      <c r="E33" s="50"/>
      <c r="F33" s="50"/>
      <c r="G33" s="50"/>
      <c r="H33" s="50"/>
    </row>
  </sheetData>
  <mergeCells count="33">
    <mergeCell ref="A5:F5"/>
    <mergeCell ref="A1:H1"/>
    <mergeCell ref="C2:D2"/>
    <mergeCell ref="E2:H2"/>
    <mergeCell ref="A3:H3"/>
    <mergeCell ref="A4:F4"/>
    <mergeCell ref="A16:F16"/>
    <mergeCell ref="A6:F7"/>
    <mergeCell ref="G6:H7"/>
    <mergeCell ref="A8:F8"/>
    <mergeCell ref="G8:H8"/>
    <mergeCell ref="A9:H9"/>
    <mergeCell ref="A10:H10"/>
    <mergeCell ref="A11:F11"/>
    <mergeCell ref="A12:F12"/>
    <mergeCell ref="A13:F13"/>
    <mergeCell ref="A14:F14"/>
    <mergeCell ref="A15:F15"/>
    <mergeCell ref="A23:F24"/>
    <mergeCell ref="G23:G24"/>
    <mergeCell ref="A28:H28"/>
    <mergeCell ref="A17:F17"/>
    <mergeCell ref="A18:F18"/>
    <mergeCell ref="A19:F19"/>
    <mergeCell ref="A20:H20"/>
    <mergeCell ref="A21:F22"/>
    <mergeCell ref="G21:G22"/>
    <mergeCell ref="A33:H33"/>
    <mergeCell ref="A25:F26"/>
    <mergeCell ref="A29:H29"/>
    <mergeCell ref="A30:H30"/>
    <mergeCell ref="A31:H31"/>
    <mergeCell ref="A32:H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23"/>
  <sheetViews>
    <sheetView zoomScaleNormal="100" workbookViewId="0">
      <selection activeCell="A3" sqref="A3"/>
    </sheetView>
  </sheetViews>
  <sheetFormatPr defaultRowHeight="15" x14ac:dyDescent="0.25"/>
  <cols>
    <col min="1" max="1" width="11.140625" customWidth="1"/>
    <col min="2" max="2" width="17.85546875" customWidth="1"/>
    <col min="3" max="3" width="14.5703125" hidden="1" customWidth="1"/>
    <col min="4" max="4" width="12.5703125" hidden="1" customWidth="1"/>
    <col min="5" max="5" width="24.28515625" customWidth="1"/>
    <col min="6" max="7" width="15.140625" customWidth="1"/>
    <col min="8" max="8" width="14.28515625" customWidth="1"/>
    <col min="9" max="9" width="15.85546875" customWidth="1"/>
    <col min="10" max="10" width="14" customWidth="1"/>
    <col min="13" max="13" width="22.5703125" customWidth="1"/>
    <col min="14" max="14" width="16.140625" customWidth="1"/>
    <col min="16" max="16" width="21.42578125" customWidth="1"/>
  </cols>
  <sheetData>
    <row r="1" spans="1:16" ht="21.75" customHeight="1" x14ac:dyDescent="0.35">
      <c r="A1" s="17" t="s">
        <v>39</v>
      </c>
    </row>
    <row r="2" spans="1:16" ht="29.25" customHeight="1" x14ac:dyDescent="0.3">
      <c r="A2" s="16" t="s">
        <v>31</v>
      </c>
    </row>
    <row r="3" spans="1:16" ht="63.75" customHeight="1" x14ac:dyDescent="0.35">
      <c r="A3" s="7">
        <v>2011</v>
      </c>
      <c r="B3" s="14" t="s">
        <v>12</v>
      </c>
      <c r="C3" s="14" t="s">
        <v>14</v>
      </c>
      <c r="D3" s="14" t="s">
        <v>13</v>
      </c>
      <c r="E3" s="14" t="s">
        <v>15</v>
      </c>
      <c r="F3" s="14" t="s">
        <v>16</v>
      </c>
      <c r="G3" s="14" t="s">
        <v>23</v>
      </c>
      <c r="H3" s="14" t="s">
        <v>17</v>
      </c>
      <c r="I3" s="14" t="s">
        <v>18</v>
      </c>
      <c r="J3" s="14" t="s">
        <v>44</v>
      </c>
      <c r="L3" s="22" t="s">
        <v>27</v>
      </c>
      <c r="M3" s="22" t="s">
        <v>32</v>
      </c>
      <c r="O3" s="14" t="s">
        <v>27</v>
      </c>
      <c r="P3" s="23" t="s">
        <v>28</v>
      </c>
    </row>
    <row r="4" spans="1:16" x14ac:dyDescent="0.25">
      <c r="A4" s="1" t="s">
        <v>0</v>
      </c>
      <c r="B4" s="9">
        <v>65.7</v>
      </c>
      <c r="C4" s="10">
        <v>31</v>
      </c>
      <c r="D4" s="10">
        <f>C4*24</f>
        <v>744</v>
      </c>
      <c r="E4" s="11">
        <f>B4/D4*1000</f>
        <v>88.306451612903231</v>
      </c>
      <c r="F4" s="9">
        <v>-8.8000000000000007</v>
      </c>
      <c r="G4" s="9">
        <v>6000</v>
      </c>
      <c r="H4" s="12">
        <v>10</v>
      </c>
      <c r="I4" s="13">
        <f>H4-F4</f>
        <v>18.8</v>
      </c>
      <c r="J4" s="8">
        <f>IFERROR(B4*1000/G4,"-")</f>
        <v>10.95</v>
      </c>
      <c r="L4" s="83" t="s">
        <v>33</v>
      </c>
      <c r="M4" s="83"/>
      <c r="O4" s="83" t="s">
        <v>33</v>
      </c>
      <c r="P4" s="83"/>
    </row>
    <row r="5" spans="1:16" x14ac:dyDescent="0.25">
      <c r="A5" s="1" t="s">
        <v>1</v>
      </c>
      <c r="B5" s="9">
        <v>70.2</v>
      </c>
      <c r="C5" s="10">
        <v>28</v>
      </c>
      <c r="D5" s="10">
        <f t="shared" ref="D5:D15" si="0">C5*24</f>
        <v>672</v>
      </c>
      <c r="E5" s="11">
        <f t="shared" ref="E5:E15" si="1">B5/D5*1000</f>
        <v>104.46428571428572</v>
      </c>
      <c r="F5" s="9">
        <v>-16.3</v>
      </c>
      <c r="G5" s="9">
        <v>5500</v>
      </c>
      <c r="H5" s="12">
        <v>10</v>
      </c>
      <c r="I5" s="13">
        <f t="shared" ref="I5:I15" si="2">H5-F5</f>
        <v>26.3</v>
      </c>
      <c r="J5" s="8">
        <f t="shared" ref="J5:J15" si="3">IFERROR(B5*1000/G5,"-")</f>
        <v>12.763636363636364</v>
      </c>
      <c r="L5" s="20">
        <f>MIN(I4:I15)-5</f>
        <v>-12.899999999999999</v>
      </c>
      <c r="M5" s="21">
        <f>L5*M8+M9</f>
        <v>8.832722293399641</v>
      </c>
      <c r="O5" s="20">
        <f>MIN(G4:G15)-2000</f>
        <v>-1500</v>
      </c>
      <c r="P5" s="20">
        <f>O5*P8+P9</f>
        <v>-3.6882923881277954</v>
      </c>
    </row>
    <row r="6" spans="1:16" x14ac:dyDescent="0.25">
      <c r="A6" s="1" t="s">
        <v>2</v>
      </c>
      <c r="B6" s="9">
        <v>58</v>
      </c>
      <c r="C6" s="10">
        <v>31</v>
      </c>
      <c r="D6" s="10">
        <f t="shared" si="0"/>
        <v>744</v>
      </c>
      <c r="E6" s="11">
        <f t="shared" si="1"/>
        <v>77.956989247311824</v>
      </c>
      <c r="F6" s="9">
        <v>-3.8</v>
      </c>
      <c r="G6" s="9">
        <v>5500</v>
      </c>
      <c r="H6" s="12">
        <v>10</v>
      </c>
      <c r="I6" s="13">
        <f t="shared" si="2"/>
        <v>13.8</v>
      </c>
      <c r="J6" s="8">
        <f t="shared" si="3"/>
        <v>10.545454545454545</v>
      </c>
      <c r="L6" s="20">
        <f>MAX(I4:I15)+5</f>
        <v>31.3</v>
      </c>
      <c r="M6" s="21">
        <f>L6*M8+M9</f>
        <v>130.316117176121</v>
      </c>
      <c r="O6" s="20">
        <f>MAX(G4:G15)+2000</f>
        <v>10000</v>
      </c>
      <c r="P6" s="20">
        <f>O6*P8+P9</f>
        <v>122.41380955864165</v>
      </c>
    </row>
    <row r="7" spans="1:16" x14ac:dyDescent="0.25">
      <c r="A7" s="1" t="s">
        <v>3</v>
      </c>
      <c r="B7" s="9">
        <v>36.5</v>
      </c>
      <c r="C7" s="10">
        <v>30</v>
      </c>
      <c r="D7" s="10">
        <f t="shared" si="0"/>
        <v>720</v>
      </c>
      <c r="E7" s="11">
        <f t="shared" si="1"/>
        <v>50.694444444444443</v>
      </c>
      <c r="F7" s="9">
        <v>4</v>
      </c>
      <c r="G7" s="9">
        <v>4000</v>
      </c>
      <c r="H7" s="12">
        <v>10</v>
      </c>
      <c r="I7" s="13">
        <f t="shared" si="2"/>
        <v>6</v>
      </c>
      <c r="J7" s="8">
        <f t="shared" si="3"/>
        <v>9.125</v>
      </c>
      <c r="L7" s="63" t="s">
        <v>34</v>
      </c>
      <c r="M7" s="65"/>
      <c r="O7" s="63" t="s">
        <v>34</v>
      </c>
      <c r="P7" s="65"/>
    </row>
    <row r="8" spans="1:16" x14ac:dyDescent="0.25">
      <c r="A8" s="1" t="s">
        <v>4</v>
      </c>
      <c r="B8" s="9">
        <v>30.3</v>
      </c>
      <c r="C8" s="10">
        <v>31</v>
      </c>
      <c r="D8" s="10">
        <f t="shared" si="0"/>
        <v>744</v>
      </c>
      <c r="E8" s="11">
        <f t="shared" si="1"/>
        <v>40.725806451612904</v>
      </c>
      <c r="F8" s="9">
        <v>8.8000000000000007</v>
      </c>
      <c r="G8" s="9">
        <v>2000</v>
      </c>
      <c r="H8" s="12">
        <v>10</v>
      </c>
      <c r="I8" s="13">
        <f t="shared" si="2"/>
        <v>1.1999999999999993</v>
      </c>
      <c r="J8" s="8">
        <f t="shared" si="3"/>
        <v>15.15</v>
      </c>
      <c r="L8" s="18" t="s">
        <v>29</v>
      </c>
      <c r="M8" s="19">
        <f>IF(COUNTBLANK(B4:B15)&gt;0,"k -arvoa ei voitu laskea",INDEX(LINEST(E4:E15,I4:I15,TRUE,FALSE),1))</f>
        <v>2.7484930968941481</v>
      </c>
      <c r="O8" s="18" t="s">
        <v>29</v>
      </c>
      <c r="P8" s="29">
        <f>IF(COUNTBLANK(B4:B15)&gt;0,"k -arvoa ei voitu laskea",INDEX(LINEST(E4:E15,G4:G15,TRUE,FALSE),1))</f>
        <v>1.09654001692843E-2</v>
      </c>
    </row>
    <row r="9" spans="1:16" x14ac:dyDescent="0.25">
      <c r="A9" s="1" t="s">
        <v>5</v>
      </c>
      <c r="B9" s="9">
        <v>18.2</v>
      </c>
      <c r="C9" s="10">
        <v>30</v>
      </c>
      <c r="D9" s="10">
        <f t="shared" si="0"/>
        <v>720</v>
      </c>
      <c r="E9" s="11">
        <f t="shared" si="1"/>
        <v>25.277777777777779</v>
      </c>
      <c r="F9" s="9">
        <v>15.6</v>
      </c>
      <c r="G9" s="9">
        <v>500</v>
      </c>
      <c r="H9" s="12">
        <v>10</v>
      </c>
      <c r="I9" s="13">
        <f t="shared" si="2"/>
        <v>-5.6</v>
      </c>
      <c r="J9" s="8">
        <f t="shared" si="3"/>
        <v>36.4</v>
      </c>
      <c r="L9" s="18" t="s">
        <v>30</v>
      </c>
      <c r="M9" s="19">
        <f>IF(COUNTBLANK(B4:B15)&gt;0,"b -arvoa ei voitu laskea",INDEX(LINEST(E4:E15,I4:I15,TRUE,FALSE),2))</f>
        <v>44.288283243334149</v>
      </c>
      <c r="O9" s="18" t="s">
        <v>30</v>
      </c>
      <c r="P9" s="19">
        <f>IF(COUNTBLANK(B4:B15)&gt;0,"b -arvoa ei voitu laskea",INDEX(LINEST(E4:E15,G4:G15,TRUE,FALSE),2))</f>
        <v>12.759807865798656</v>
      </c>
    </row>
    <row r="10" spans="1:16" x14ac:dyDescent="0.25">
      <c r="A10" s="1" t="s">
        <v>6</v>
      </c>
      <c r="B10" s="9">
        <v>0</v>
      </c>
      <c r="C10" s="10">
        <v>31</v>
      </c>
      <c r="D10" s="10">
        <f t="shared" si="0"/>
        <v>744</v>
      </c>
      <c r="E10" s="11">
        <f t="shared" si="1"/>
        <v>0</v>
      </c>
      <c r="F10" s="9">
        <v>17.899999999999999</v>
      </c>
      <c r="G10" s="9">
        <v>500</v>
      </c>
      <c r="H10" s="12">
        <v>10</v>
      </c>
      <c r="I10" s="13">
        <f t="shared" si="2"/>
        <v>-7.8999999999999986</v>
      </c>
      <c r="J10" s="8">
        <f t="shared" si="3"/>
        <v>0</v>
      </c>
      <c r="L10" s="77" t="s">
        <v>35</v>
      </c>
      <c r="M10" s="78"/>
      <c r="O10" s="79" t="s">
        <v>35</v>
      </c>
      <c r="P10" s="80"/>
    </row>
    <row r="11" spans="1:16" x14ac:dyDescent="0.25">
      <c r="A11" s="1" t="s">
        <v>7</v>
      </c>
      <c r="B11" s="9">
        <v>0</v>
      </c>
      <c r="C11" s="10">
        <v>31</v>
      </c>
      <c r="D11" s="10">
        <f t="shared" si="0"/>
        <v>744</v>
      </c>
      <c r="E11" s="11">
        <f t="shared" si="1"/>
        <v>0</v>
      </c>
      <c r="F11" s="9">
        <v>14.3</v>
      </c>
      <c r="G11" s="9">
        <v>2000</v>
      </c>
      <c r="H11" s="12">
        <v>10</v>
      </c>
      <c r="I11" s="13">
        <f t="shared" si="2"/>
        <v>-4.3000000000000007</v>
      </c>
      <c r="J11" s="8">
        <f t="shared" si="3"/>
        <v>0</v>
      </c>
      <c r="L11" s="81" t="str">
        <f>IF(M8="k -arvoa ei voitu laskea","Suoran yhtälöä ei voitu laskea",IF(M9&lt;0,"Y="&amp;TEXT(M8,"0,00")&amp;"X"&amp;TEXT(M9,"0,00"),"Y="&amp;TEXT(M8,"0,00")&amp;"X+"&amp;TEXT(M9,"0,00")))</f>
        <v>Y=2,75X+44,29</v>
      </c>
      <c r="M11" s="82"/>
      <c r="O11" s="84" t="str">
        <f>IF(P8="k -arvoa ei voitu laskea","Suoran yhtälöä ei voitu laskea",IF(P9&lt;0,"Y="&amp;TEXT(P8,"0,000")&amp;"X"&amp;TEXT(P9,"0,00"),"Y="&amp;TEXT(P8,"0,000")&amp;"X+"&amp;TEXT(P9,"0,00")))</f>
        <v>Y=0,011X+12,76</v>
      </c>
      <c r="P11" s="85"/>
    </row>
    <row r="12" spans="1:16" x14ac:dyDescent="0.25">
      <c r="A12" s="1" t="s">
        <v>8</v>
      </c>
      <c r="B12" s="9">
        <v>76.7</v>
      </c>
      <c r="C12" s="10">
        <v>30</v>
      </c>
      <c r="D12" s="10">
        <f t="shared" si="0"/>
        <v>720</v>
      </c>
      <c r="E12" s="11">
        <f t="shared" si="1"/>
        <v>106.52777777777777</v>
      </c>
      <c r="F12" s="9">
        <v>10.7</v>
      </c>
      <c r="G12" s="9">
        <v>4000</v>
      </c>
      <c r="H12" s="12">
        <v>10</v>
      </c>
      <c r="I12" s="13">
        <f t="shared" si="2"/>
        <v>-0.69999999999999929</v>
      </c>
      <c r="J12" s="8">
        <f t="shared" si="3"/>
        <v>19.175000000000001</v>
      </c>
      <c r="N12" s="15"/>
    </row>
    <row r="13" spans="1:16" x14ac:dyDescent="0.25">
      <c r="A13" s="1" t="s">
        <v>9</v>
      </c>
      <c r="B13" s="9">
        <v>54.3</v>
      </c>
      <c r="C13" s="10">
        <v>31</v>
      </c>
      <c r="D13" s="10">
        <f t="shared" si="0"/>
        <v>744</v>
      </c>
      <c r="E13" s="11">
        <f t="shared" si="1"/>
        <v>72.983870967741936</v>
      </c>
      <c r="F13" s="9">
        <v>4.7</v>
      </c>
      <c r="G13" s="9">
        <v>7000</v>
      </c>
      <c r="H13" s="12">
        <v>10</v>
      </c>
      <c r="I13" s="13">
        <f t="shared" si="2"/>
        <v>5.3</v>
      </c>
      <c r="J13" s="8">
        <f t="shared" si="3"/>
        <v>7.7571428571428571</v>
      </c>
    </row>
    <row r="14" spans="1:16" x14ac:dyDescent="0.25">
      <c r="A14" s="1" t="s">
        <v>10</v>
      </c>
      <c r="B14" s="9">
        <v>48.8</v>
      </c>
      <c r="C14" s="10">
        <v>30</v>
      </c>
      <c r="D14" s="10">
        <f t="shared" si="0"/>
        <v>720</v>
      </c>
      <c r="E14" s="11">
        <f t="shared" si="1"/>
        <v>67.777777777777771</v>
      </c>
      <c r="F14" s="9">
        <v>1.5</v>
      </c>
      <c r="G14" s="9">
        <v>7500</v>
      </c>
      <c r="H14" s="12">
        <v>10</v>
      </c>
      <c r="I14" s="13">
        <f t="shared" si="2"/>
        <v>8.5</v>
      </c>
      <c r="J14" s="8">
        <f t="shared" si="3"/>
        <v>6.5066666666666668</v>
      </c>
    </row>
    <row r="15" spans="1:16" x14ac:dyDescent="0.25">
      <c r="A15" s="1" t="s">
        <v>11</v>
      </c>
      <c r="B15" s="9">
        <v>70</v>
      </c>
      <c r="C15" s="10">
        <v>31</v>
      </c>
      <c r="D15" s="10">
        <f t="shared" si="0"/>
        <v>744</v>
      </c>
      <c r="E15" s="11">
        <f t="shared" si="1"/>
        <v>94.086021505376337</v>
      </c>
      <c r="F15" s="9">
        <v>-0.4</v>
      </c>
      <c r="G15" s="9">
        <v>8000</v>
      </c>
      <c r="H15" s="12">
        <v>10</v>
      </c>
      <c r="I15" s="13">
        <f t="shared" si="2"/>
        <v>10.4</v>
      </c>
      <c r="J15" s="8">
        <f t="shared" si="3"/>
        <v>8.75</v>
      </c>
    </row>
    <row r="16" spans="1:16" x14ac:dyDescent="0.25">
      <c r="A16" s="6" t="s">
        <v>19</v>
      </c>
      <c r="B16" s="47">
        <f>SUM(B4:B15)</f>
        <v>528.70000000000005</v>
      </c>
      <c r="C16" s="2"/>
      <c r="D16" s="2"/>
      <c r="E16" s="4" t="s">
        <v>20</v>
      </c>
      <c r="F16" s="2"/>
      <c r="G16" s="48">
        <f>SUM(G4:G15)</f>
        <v>52500</v>
      </c>
      <c r="H16" s="4" t="s">
        <v>24</v>
      </c>
      <c r="I16" s="2"/>
      <c r="J16" s="49">
        <f>IFERROR(AVERAGE(J4:J15),"-")</f>
        <v>11.426908369408368</v>
      </c>
      <c r="K16" s="5" t="s">
        <v>26</v>
      </c>
    </row>
    <row r="17" spans="2:15" ht="15.75" x14ac:dyDescent="0.25">
      <c r="B17" s="3" t="s">
        <v>77</v>
      </c>
      <c r="M17" s="44"/>
      <c r="N17" s="32"/>
      <c r="O17" s="32"/>
    </row>
    <row r="18" spans="2:15" x14ac:dyDescent="0.25">
      <c r="M18" s="31"/>
      <c r="N18" s="32"/>
      <c r="O18" s="32"/>
    </row>
    <row r="19" spans="2:15" x14ac:dyDescent="0.25">
      <c r="M19" s="31"/>
      <c r="N19" s="45"/>
      <c r="O19" s="32"/>
    </row>
    <row r="20" spans="2:15" x14ac:dyDescent="0.25">
      <c r="M20" s="31"/>
      <c r="N20" s="46"/>
      <c r="O20" s="32"/>
    </row>
    <row r="21" spans="2:15" x14ac:dyDescent="0.25">
      <c r="M21" s="31"/>
      <c r="N21" s="33"/>
      <c r="O21" s="32"/>
    </row>
    <row r="22" spans="2:15" x14ac:dyDescent="0.25">
      <c r="M22" s="31"/>
      <c r="N22" s="33"/>
      <c r="O22" s="32"/>
    </row>
    <row r="23" spans="2:15" x14ac:dyDescent="0.25">
      <c r="M23" s="34"/>
    </row>
  </sheetData>
  <mergeCells count="8">
    <mergeCell ref="L10:M10"/>
    <mergeCell ref="O10:P10"/>
    <mergeCell ref="L11:M11"/>
    <mergeCell ref="L4:M4"/>
    <mergeCell ref="L7:M7"/>
    <mergeCell ref="O4:P4"/>
    <mergeCell ref="O7:P7"/>
    <mergeCell ref="O11:P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22"/>
  <sheetViews>
    <sheetView zoomScaleNormal="100" workbookViewId="0">
      <selection activeCell="A3" sqref="A3"/>
    </sheetView>
  </sheetViews>
  <sheetFormatPr defaultRowHeight="15" x14ac:dyDescent="0.25"/>
  <cols>
    <col min="1" max="1" width="11.140625" customWidth="1"/>
    <col min="2" max="2" width="17.85546875" customWidth="1"/>
    <col min="3" max="3" width="14.5703125" hidden="1" customWidth="1"/>
    <col min="4" max="4" width="12.5703125" hidden="1" customWidth="1"/>
    <col min="5" max="5" width="24.28515625" customWidth="1"/>
    <col min="6" max="7" width="15.140625" customWidth="1"/>
    <col min="8" max="8" width="14.28515625" customWidth="1"/>
    <col min="9" max="9" width="15.85546875" customWidth="1"/>
    <col min="10" max="10" width="14" customWidth="1"/>
    <col min="13" max="13" width="22.85546875" customWidth="1"/>
    <col min="14" max="14" width="9.7109375" customWidth="1"/>
    <col min="16" max="16" width="21.42578125" customWidth="1"/>
  </cols>
  <sheetData>
    <row r="1" spans="1:16" ht="21.75" customHeight="1" x14ac:dyDescent="0.35">
      <c r="A1" s="17" t="s">
        <v>40</v>
      </c>
    </row>
    <row r="2" spans="1:16" ht="29.25" customHeight="1" x14ac:dyDescent="0.3">
      <c r="A2" s="16" t="s">
        <v>31</v>
      </c>
    </row>
    <row r="3" spans="1:16" ht="63.75" customHeight="1" x14ac:dyDescent="0.35">
      <c r="A3" s="7">
        <v>2011</v>
      </c>
      <c r="B3" s="14" t="s">
        <v>21</v>
      </c>
      <c r="C3" s="14" t="s">
        <v>14</v>
      </c>
      <c r="D3" s="14" t="s">
        <v>13</v>
      </c>
      <c r="E3" s="14" t="s">
        <v>22</v>
      </c>
      <c r="F3" s="14" t="s">
        <v>16</v>
      </c>
      <c r="G3" s="14" t="s">
        <v>23</v>
      </c>
      <c r="H3" s="14" t="s">
        <v>17</v>
      </c>
      <c r="I3" s="14" t="s">
        <v>18</v>
      </c>
      <c r="J3" s="14" t="s">
        <v>46</v>
      </c>
      <c r="L3" s="22" t="s">
        <v>27</v>
      </c>
      <c r="M3" s="22" t="s">
        <v>32</v>
      </c>
      <c r="O3" s="14" t="s">
        <v>27</v>
      </c>
      <c r="P3" s="23" t="s">
        <v>28</v>
      </c>
    </row>
    <row r="4" spans="1:16" x14ac:dyDescent="0.25">
      <c r="A4" s="1" t="s">
        <v>0</v>
      </c>
      <c r="B4" s="24">
        <v>46.2</v>
      </c>
      <c r="C4" s="10">
        <v>31</v>
      </c>
      <c r="D4" s="10">
        <f>C4*24</f>
        <v>744</v>
      </c>
      <c r="E4" s="25">
        <f>B4/D4*1000</f>
        <v>62.096774193548391</v>
      </c>
      <c r="F4" s="26">
        <f>'Kaukolämmön kk.kulutus'!F4</f>
        <v>-8.8000000000000007</v>
      </c>
      <c r="G4" s="26">
        <f>'Kaukolämmön kk.kulutus'!G4</f>
        <v>6000</v>
      </c>
      <c r="H4" s="26">
        <f>'Kaukolämmön kk.kulutus'!H4</f>
        <v>10</v>
      </c>
      <c r="I4" s="26">
        <f>H4-F4</f>
        <v>18.8</v>
      </c>
      <c r="J4" s="27">
        <f>IFERROR(B4/G4*1000,"-")</f>
        <v>7.7</v>
      </c>
      <c r="L4" s="83" t="s">
        <v>33</v>
      </c>
      <c r="M4" s="83"/>
      <c r="O4" s="83" t="s">
        <v>33</v>
      </c>
      <c r="P4" s="83"/>
    </row>
    <row r="5" spans="1:16" x14ac:dyDescent="0.25">
      <c r="A5" s="1" t="s">
        <v>1</v>
      </c>
      <c r="B5" s="24">
        <v>46.5</v>
      </c>
      <c r="C5" s="10">
        <v>28</v>
      </c>
      <c r="D5" s="10">
        <f t="shared" ref="D5:D15" si="0">C5*24</f>
        <v>672</v>
      </c>
      <c r="E5" s="25">
        <f t="shared" ref="E5:E15" si="1">B5/D5*1000</f>
        <v>69.196428571428569</v>
      </c>
      <c r="F5" s="26">
        <f>'Kaukolämmön kk.kulutus'!F5</f>
        <v>-16.3</v>
      </c>
      <c r="G5" s="26">
        <f>'Kaukolämmön kk.kulutus'!G5</f>
        <v>5500</v>
      </c>
      <c r="H5" s="26">
        <f>'Kaukolämmön kk.kulutus'!H5</f>
        <v>10</v>
      </c>
      <c r="I5" s="26">
        <f t="shared" ref="I5:I15" si="2">H5-F5</f>
        <v>26.3</v>
      </c>
      <c r="J5" s="27">
        <f t="shared" ref="J5:J15" si="3">IFERROR(B5/G5*1000,"-")</f>
        <v>8.454545454545455</v>
      </c>
      <c r="L5" s="20">
        <f>MIN(I4:I15)-5</f>
        <v>-12.899999999999999</v>
      </c>
      <c r="M5" s="21">
        <f>L5*M8+M9</f>
        <v>47.482330377657405</v>
      </c>
      <c r="O5" s="20">
        <f>MIN(G4:G15)-2000</f>
        <v>-1500</v>
      </c>
      <c r="P5" s="20">
        <f>O5*P8+P9</f>
        <v>30.522870709983955</v>
      </c>
    </row>
    <row r="6" spans="1:16" x14ac:dyDescent="0.25">
      <c r="A6" s="1" t="s">
        <v>2</v>
      </c>
      <c r="B6" s="24">
        <v>53.5</v>
      </c>
      <c r="C6" s="10">
        <v>31</v>
      </c>
      <c r="D6" s="10">
        <f t="shared" si="0"/>
        <v>744</v>
      </c>
      <c r="E6" s="25">
        <f t="shared" si="1"/>
        <v>71.908602150537646</v>
      </c>
      <c r="F6" s="26">
        <f>'Kaukolämmön kk.kulutus'!F6</f>
        <v>-3.8</v>
      </c>
      <c r="G6" s="26">
        <f>'Kaukolämmön kk.kulutus'!G6</f>
        <v>5500</v>
      </c>
      <c r="H6" s="26">
        <f>'Kaukolämmön kk.kulutus'!H6</f>
        <v>10</v>
      </c>
      <c r="I6" s="26">
        <f t="shared" si="2"/>
        <v>13.8</v>
      </c>
      <c r="J6" s="27">
        <f t="shared" si="3"/>
        <v>9.7272727272727266</v>
      </c>
      <c r="L6" s="20">
        <f>MAX(I4:I15)+5</f>
        <v>31.3</v>
      </c>
      <c r="M6" s="21">
        <f>L6*M8+M9</f>
        <v>81.561412727032717</v>
      </c>
      <c r="O6" s="20">
        <f>MAX(G4:G15)+2000</f>
        <v>10000</v>
      </c>
      <c r="P6" s="20">
        <f>O6*P8+P9</f>
        <v>92.219414750026999</v>
      </c>
    </row>
    <row r="7" spans="1:16" x14ac:dyDescent="0.25">
      <c r="A7" s="1" t="s">
        <v>3</v>
      </c>
      <c r="B7" s="24">
        <v>40.1</v>
      </c>
      <c r="C7" s="10">
        <v>30</v>
      </c>
      <c r="D7" s="10">
        <f t="shared" si="0"/>
        <v>720</v>
      </c>
      <c r="E7" s="25">
        <f t="shared" si="1"/>
        <v>55.69444444444445</v>
      </c>
      <c r="F7" s="26">
        <f>'Kaukolämmön kk.kulutus'!F7</f>
        <v>4</v>
      </c>
      <c r="G7" s="26">
        <f>'Kaukolämmön kk.kulutus'!G7</f>
        <v>4000</v>
      </c>
      <c r="H7" s="26">
        <f>'Kaukolämmön kk.kulutus'!H7</f>
        <v>10</v>
      </c>
      <c r="I7" s="26">
        <f t="shared" si="2"/>
        <v>6</v>
      </c>
      <c r="J7" s="27">
        <f t="shared" si="3"/>
        <v>10.025</v>
      </c>
      <c r="L7" s="63" t="s">
        <v>34</v>
      </c>
      <c r="M7" s="65"/>
      <c r="O7" s="63" t="s">
        <v>34</v>
      </c>
      <c r="P7" s="65"/>
    </row>
    <row r="8" spans="1:16" x14ac:dyDescent="0.25">
      <c r="A8" s="1" t="s">
        <v>4</v>
      </c>
      <c r="B8" s="24">
        <v>16.2</v>
      </c>
      <c r="C8" s="10">
        <v>31</v>
      </c>
      <c r="D8" s="10">
        <f t="shared" si="0"/>
        <v>744</v>
      </c>
      <c r="E8" s="25">
        <f t="shared" si="1"/>
        <v>21.774193548387096</v>
      </c>
      <c r="F8" s="26">
        <f>'Kaukolämmön kk.kulutus'!F8</f>
        <v>8.8000000000000007</v>
      </c>
      <c r="G8" s="26">
        <f>'Kaukolämmön kk.kulutus'!G8</f>
        <v>2000</v>
      </c>
      <c r="H8" s="26">
        <f>'Kaukolämmön kk.kulutus'!H8</f>
        <v>10</v>
      </c>
      <c r="I8" s="26">
        <f t="shared" si="2"/>
        <v>1.1999999999999993</v>
      </c>
      <c r="J8" s="27">
        <f t="shared" si="3"/>
        <v>8.1</v>
      </c>
      <c r="L8" s="18" t="s">
        <v>29</v>
      </c>
      <c r="M8" s="19">
        <f>IF(COUNTBLANK(B4:B15)&gt;0,"k -arvoa ei voitu laskea",INDEX(LINEST(E4:E15,I4:I15,TRUE,FALSE),1))</f>
        <v>0.77101996265555006</v>
      </c>
      <c r="O8" s="18" t="s">
        <v>29</v>
      </c>
      <c r="P8" s="29">
        <f>IF(COUNTBLANK(B4:B15)&gt;0,"k -arvoa ei voitu laskea",INDEX(LINEST(E4:E15,G4:G15,TRUE,FALSE),1))</f>
        <v>5.3649168730472213E-3</v>
      </c>
    </row>
    <row r="9" spans="1:16" x14ac:dyDescent="0.25">
      <c r="A9" s="1" t="s">
        <v>5</v>
      </c>
      <c r="B9" s="24">
        <v>43.6</v>
      </c>
      <c r="C9" s="10">
        <v>30</v>
      </c>
      <c r="D9" s="10">
        <f t="shared" si="0"/>
        <v>720</v>
      </c>
      <c r="E9" s="25">
        <f t="shared" si="1"/>
        <v>60.555555555555557</v>
      </c>
      <c r="F9" s="26">
        <f>'Kaukolämmön kk.kulutus'!F9</f>
        <v>15.6</v>
      </c>
      <c r="G9" s="26">
        <f>'Kaukolämmön kk.kulutus'!G9</f>
        <v>500</v>
      </c>
      <c r="H9" s="26">
        <f>'Kaukolämmön kk.kulutus'!H9</f>
        <v>10</v>
      </c>
      <c r="I9" s="26">
        <f t="shared" si="2"/>
        <v>-5.6</v>
      </c>
      <c r="J9" s="27">
        <f t="shared" si="3"/>
        <v>87.2</v>
      </c>
      <c r="L9" s="18" t="s">
        <v>30</v>
      </c>
      <c r="M9" s="19">
        <f>IF(COUNTBLANK(B4:B15)&gt;0,"b -arvoa ei voitu laskea",INDEX(LINEST(E4:E15,I4:I15,TRUE,FALSE),2))</f>
        <v>57.428487895914003</v>
      </c>
      <c r="O9" s="18" t="s">
        <v>30</v>
      </c>
      <c r="P9" s="19">
        <f>IF(COUNTBLANK(B4:B15)&gt;0,"b -arvoa ei voitu laskea",INDEX(LINEST(E4:E15,G4:G15,TRUE,FALSE),2))</f>
        <v>38.570246019554787</v>
      </c>
    </row>
    <row r="10" spans="1:16" x14ac:dyDescent="0.25">
      <c r="A10" s="1" t="s">
        <v>6</v>
      </c>
      <c r="B10" s="24">
        <v>8.5</v>
      </c>
      <c r="C10" s="10">
        <v>31</v>
      </c>
      <c r="D10" s="10">
        <f t="shared" si="0"/>
        <v>744</v>
      </c>
      <c r="E10" s="25">
        <f t="shared" si="1"/>
        <v>11.4247311827957</v>
      </c>
      <c r="F10" s="26">
        <f>'Kaukolämmön kk.kulutus'!F10</f>
        <v>17.899999999999999</v>
      </c>
      <c r="G10" s="26">
        <f>'Kaukolämmön kk.kulutus'!G10</f>
        <v>500</v>
      </c>
      <c r="H10" s="26">
        <f>'Kaukolämmön kk.kulutus'!H10</f>
        <v>10</v>
      </c>
      <c r="I10" s="26">
        <f t="shared" si="2"/>
        <v>-7.8999999999999986</v>
      </c>
      <c r="J10" s="27">
        <f t="shared" si="3"/>
        <v>17</v>
      </c>
      <c r="L10" s="77" t="s">
        <v>35</v>
      </c>
      <c r="M10" s="78"/>
      <c r="O10" s="79" t="s">
        <v>35</v>
      </c>
      <c r="P10" s="80"/>
    </row>
    <row r="11" spans="1:16" x14ac:dyDescent="0.25">
      <c r="A11" s="1" t="s">
        <v>7</v>
      </c>
      <c r="B11" s="24">
        <v>53.6</v>
      </c>
      <c r="C11" s="10">
        <v>31</v>
      </c>
      <c r="D11" s="10">
        <f t="shared" si="0"/>
        <v>744</v>
      </c>
      <c r="E11" s="25">
        <f t="shared" si="1"/>
        <v>72.043010752688176</v>
      </c>
      <c r="F11" s="26">
        <f>'Kaukolämmön kk.kulutus'!F11</f>
        <v>14.3</v>
      </c>
      <c r="G11" s="26">
        <f>'Kaukolämmön kk.kulutus'!G11</f>
        <v>2000</v>
      </c>
      <c r="H11" s="26">
        <f>'Kaukolämmön kk.kulutus'!H11</f>
        <v>10</v>
      </c>
      <c r="I11" s="26">
        <f t="shared" si="2"/>
        <v>-4.3000000000000007</v>
      </c>
      <c r="J11" s="27">
        <f t="shared" si="3"/>
        <v>26.8</v>
      </c>
      <c r="L11" s="81" t="str">
        <f>IF(M8="k -arvoa ei voitu laskea","Suoran yhtälöä ei voitu laskea",IF(M9&lt;0,"Y="&amp;TEXT(M8,"0,00")&amp;"X"&amp;TEXT(M9,"0,00"),"Y="&amp;TEXT(M8,"0,00")&amp;"X+"&amp;TEXT(M9,"0,00")))</f>
        <v>Y=0,77X+57,43</v>
      </c>
      <c r="M11" s="82"/>
      <c r="O11" s="84" t="str">
        <f>IF(P8="k -arvoa ei voitu laskea","Suoran yhtälöä ei voitu laskea",IF(P9&lt;0,"Y="&amp;TEXT(P8,"0,000")&amp;"X"&amp;TEXT(P9,"0,00"),"Y="&amp;TEXT(P8,"0,000")&amp;"X+"&amp;TEXT(P9,"0,00")))</f>
        <v>Y=0,005X+38,57</v>
      </c>
      <c r="P11" s="85"/>
    </row>
    <row r="12" spans="1:16" x14ac:dyDescent="0.25">
      <c r="A12" s="1" t="s">
        <v>8</v>
      </c>
      <c r="B12" s="24">
        <v>66</v>
      </c>
      <c r="C12" s="10">
        <v>30</v>
      </c>
      <c r="D12" s="10">
        <f t="shared" si="0"/>
        <v>720</v>
      </c>
      <c r="E12" s="25">
        <f t="shared" si="1"/>
        <v>91.666666666666657</v>
      </c>
      <c r="F12" s="26">
        <f>'Kaukolämmön kk.kulutus'!F12</f>
        <v>10.7</v>
      </c>
      <c r="G12" s="26">
        <f>'Kaukolämmön kk.kulutus'!G12</f>
        <v>4000</v>
      </c>
      <c r="H12" s="26">
        <f>'Kaukolämmön kk.kulutus'!H12</f>
        <v>10</v>
      </c>
      <c r="I12" s="26">
        <f t="shared" si="2"/>
        <v>-0.69999999999999929</v>
      </c>
      <c r="J12" s="27">
        <f t="shared" si="3"/>
        <v>16.5</v>
      </c>
      <c r="N12" s="15"/>
    </row>
    <row r="13" spans="1:16" x14ac:dyDescent="0.25">
      <c r="A13" s="1" t="s">
        <v>9</v>
      </c>
      <c r="B13" s="24">
        <v>60</v>
      </c>
      <c r="C13" s="10">
        <v>31</v>
      </c>
      <c r="D13" s="10">
        <f t="shared" si="0"/>
        <v>744</v>
      </c>
      <c r="E13" s="25">
        <f t="shared" si="1"/>
        <v>80.645161290322577</v>
      </c>
      <c r="F13" s="26">
        <f>'Kaukolämmön kk.kulutus'!F13</f>
        <v>4.7</v>
      </c>
      <c r="G13" s="26">
        <f>'Kaukolämmön kk.kulutus'!G13</f>
        <v>7000</v>
      </c>
      <c r="H13" s="26">
        <f>'Kaukolämmön kk.kulutus'!H13</f>
        <v>10</v>
      </c>
      <c r="I13" s="26">
        <f t="shared" si="2"/>
        <v>5.3</v>
      </c>
      <c r="J13" s="27">
        <f t="shared" si="3"/>
        <v>8.5714285714285712</v>
      </c>
    </row>
    <row r="14" spans="1:16" x14ac:dyDescent="0.25">
      <c r="A14" s="1" t="s">
        <v>10</v>
      </c>
      <c r="B14" s="24">
        <v>55.1</v>
      </c>
      <c r="C14" s="10">
        <v>30</v>
      </c>
      <c r="D14" s="10">
        <f t="shared" si="0"/>
        <v>720</v>
      </c>
      <c r="E14" s="25">
        <f t="shared" si="1"/>
        <v>76.527777777777771</v>
      </c>
      <c r="F14" s="26">
        <f>'Kaukolämmön kk.kulutus'!F14</f>
        <v>1.5</v>
      </c>
      <c r="G14" s="26">
        <f>'Kaukolämmön kk.kulutus'!G14</f>
        <v>7500</v>
      </c>
      <c r="H14" s="26">
        <f>'Kaukolämmön kk.kulutus'!H14</f>
        <v>10</v>
      </c>
      <c r="I14" s="26">
        <f t="shared" si="2"/>
        <v>8.5</v>
      </c>
      <c r="J14" s="27">
        <f t="shared" si="3"/>
        <v>7.3466666666666676</v>
      </c>
    </row>
    <row r="15" spans="1:16" x14ac:dyDescent="0.25">
      <c r="A15" s="1" t="s">
        <v>11</v>
      </c>
      <c r="B15" s="24">
        <v>52.8</v>
      </c>
      <c r="C15" s="10">
        <v>31</v>
      </c>
      <c r="D15" s="10">
        <f t="shared" si="0"/>
        <v>744</v>
      </c>
      <c r="E15" s="25">
        <f t="shared" si="1"/>
        <v>70.967741935483872</v>
      </c>
      <c r="F15" s="26">
        <f>'Kaukolämmön kk.kulutus'!F15</f>
        <v>-0.4</v>
      </c>
      <c r="G15" s="26">
        <f>'Kaukolämmön kk.kulutus'!G15</f>
        <v>8000</v>
      </c>
      <c r="H15" s="26">
        <f>'Kaukolämmön kk.kulutus'!H15</f>
        <v>10</v>
      </c>
      <c r="I15" s="26">
        <f t="shared" si="2"/>
        <v>10.4</v>
      </c>
      <c r="J15" s="27">
        <f t="shared" si="3"/>
        <v>6.6</v>
      </c>
    </row>
    <row r="16" spans="1:16" x14ac:dyDescent="0.25">
      <c r="A16" s="6" t="s">
        <v>19</v>
      </c>
      <c r="B16" s="47">
        <f>SUM(B4:B15)</f>
        <v>542.1</v>
      </c>
      <c r="C16" s="2"/>
      <c r="D16" s="2"/>
      <c r="E16" s="4" t="s">
        <v>20</v>
      </c>
      <c r="F16" s="2"/>
      <c r="G16" s="48">
        <f>SUM(G4:G15)</f>
        <v>52500</v>
      </c>
      <c r="H16" s="4" t="s">
        <v>24</v>
      </c>
      <c r="I16" s="2"/>
      <c r="J16" s="49">
        <f>IFERROR(AVERAGE(J4:J15),"-")</f>
        <v>17.835409451659455</v>
      </c>
      <c r="K16" s="5" t="s">
        <v>26</v>
      </c>
    </row>
    <row r="17" spans="2:15" ht="15.75" x14ac:dyDescent="0.25">
      <c r="B17" s="3" t="s">
        <v>77</v>
      </c>
      <c r="M17" s="44"/>
      <c r="N17" s="32"/>
      <c r="O17" s="32"/>
    </row>
    <row r="18" spans="2:15" x14ac:dyDescent="0.25">
      <c r="M18" s="31"/>
      <c r="N18" s="32"/>
      <c r="O18" s="32"/>
    </row>
    <row r="19" spans="2:15" x14ac:dyDescent="0.25">
      <c r="M19" s="31"/>
      <c r="N19" s="45"/>
      <c r="O19" s="32"/>
    </row>
    <row r="20" spans="2:15" x14ac:dyDescent="0.25">
      <c r="M20" s="34"/>
      <c r="N20" s="31"/>
      <c r="O20" s="32"/>
    </row>
    <row r="21" spans="2:15" x14ac:dyDescent="0.25">
      <c r="M21" s="31"/>
      <c r="N21" s="33"/>
      <c r="O21" s="32"/>
    </row>
    <row r="22" spans="2:15" x14ac:dyDescent="0.25">
      <c r="M22" s="31"/>
      <c r="N22" s="33"/>
      <c r="O22" s="32"/>
    </row>
  </sheetData>
  <mergeCells count="8">
    <mergeCell ref="L11:M11"/>
    <mergeCell ref="O11:P11"/>
    <mergeCell ref="L4:M4"/>
    <mergeCell ref="O4:P4"/>
    <mergeCell ref="L7:M7"/>
    <mergeCell ref="O7:P7"/>
    <mergeCell ref="L10:M10"/>
    <mergeCell ref="O10:P10"/>
  </mergeCells>
  <pageMargins left="0.7" right="0.7" top="0.75" bottom="0.75" header="0.3" footer="0.3"/>
  <pageSetup orientation="portrait" horizontalDpi="300" verticalDpi="0" copies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N20"/>
  <sheetViews>
    <sheetView zoomScaleNormal="100" workbookViewId="0">
      <selection activeCell="A3" sqref="A3"/>
    </sheetView>
  </sheetViews>
  <sheetFormatPr defaultRowHeight="15" x14ac:dyDescent="0.25"/>
  <cols>
    <col min="1" max="1" width="11.140625" customWidth="1"/>
    <col min="2" max="2" width="18" customWidth="1"/>
    <col min="3" max="4" width="15.140625" customWidth="1"/>
    <col min="5" max="5" width="14.28515625" customWidth="1"/>
    <col min="6" max="6" width="15.85546875" customWidth="1"/>
    <col min="7" max="7" width="14" customWidth="1"/>
    <col min="10" max="10" width="22.5703125" customWidth="1"/>
    <col min="12" max="12" width="10" customWidth="1"/>
    <col min="13" max="13" width="21.42578125" customWidth="1"/>
  </cols>
  <sheetData>
    <row r="1" spans="1:13" ht="21.75" customHeight="1" x14ac:dyDescent="0.35">
      <c r="A1" s="17" t="s">
        <v>36</v>
      </c>
    </row>
    <row r="2" spans="1:13" ht="29.25" customHeight="1" x14ac:dyDescent="0.3">
      <c r="A2" s="16" t="s">
        <v>31</v>
      </c>
    </row>
    <row r="3" spans="1:13" ht="63.75" customHeight="1" x14ac:dyDescent="0.35">
      <c r="A3" s="7">
        <v>2011</v>
      </c>
      <c r="B3" s="14" t="s">
        <v>25</v>
      </c>
      <c r="C3" s="14" t="s">
        <v>16</v>
      </c>
      <c r="D3" s="14" t="s">
        <v>23</v>
      </c>
      <c r="E3" s="14" t="s">
        <v>17</v>
      </c>
      <c r="F3" s="14" t="s">
        <v>18</v>
      </c>
      <c r="G3" s="14" t="s">
        <v>37</v>
      </c>
      <c r="I3" s="22" t="s">
        <v>27</v>
      </c>
      <c r="J3" s="22" t="s">
        <v>32</v>
      </c>
      <c r="L3" s="14" t="s">
        <v>27</v>
      </c>
      <c r="M3" s="23" t="s">
        <v>28</v>
      </c>
    </row>
    <row r="4" spans="1:13" x14ac:dyDescent="0.25">
      <c r="A4" s="1" t="s">
        <v>0</v>
      </c>
      <c r="B4" s="28">
        <v>220</v>
      </c>
      <c r="C4" s="26">
        <f>'Kaukolämmön kk.kulutus'!F4</f>
        <v>-8.8000000000000007</v>
      </c>
      <c r="D4" s="26">
        <f>'Kaukolämmön kk.kulutus'!G4</f>
        <v>6000</v>
      </c>
      <c r="E4" s="26">
        <f>'Kaukolämmön kk.kulutus'!H4</f>
        <v>10</v>
      </c>
      <c r="F4" s="26">
        <f>E4-C4</f>
        <v>18.8</v>
      </c>
      <c r="G4" s="27">
        <f>IFERROR(B4*1000/D4,"-")</f>
        <v>36.666666666666664</v>
      </c>
      <c r="I4" s="83" t="s">
        <v>33</v>
      </c>
      <c r="J4" s="83"/>
      <c r="L4" s="83" t="s">
        <v>33</v>
      </c>
      <c r="M4" s="83"/>
    </row>
    <row r="5" spans="1:13" x14ac:dyDescent="0.25">
      <c r="A5" s="1" t="s">
        <v>1</v>
      </c>
      <c r="B5" s="28">
        <v>230</v>
      </c>
      <c r="C5" s="26">
        <f>'Kaukolämmön kk.kulutus'!F5</f>
        <v>-16.3</v>
      </c>
      <c r="D5" s="26">
        <f>'Kaukolämmön kk.kulutus'!G5</f>
        <v>5500</v>
      </c>
      <c r="E5" s="26">
        <f>'Kaukolämmön kk.kulutus'!H5</f>
        <v>10</v>
      </c>
      <c r="F5" s="26">
        <f t="shared" ref="F5:F15" si="0">E5-C5</f>
        <v>26.3</v>
      </c>
      <c r="G5" s="27">
        <f t="shared" ref="G5:G15" si="1">IFERROR(B5*1000/D5,"-")</f>
        <v>41.81818181818182</v>
      </c>
      <c r="I5" s="20">
        <f>MIN(F4:F15)-5</f>
        <v>-12.899999999999999</v>
      </c>
      <c r="J5" s="21">
        <f>I5*J8+J9</f>
        <v>33.029819946937138</v>
      </c>
      <c r="L5" s="20">
        <f>MIN(D4:D15)-2000</f>
        <v>-1500</v>
      </c>
      <c r="M5" s="20">
        <f>L5*M8+M9</f>
        <v>13.711564625850301</v>
      </c>
    </row>
    <row r="6" spans="1:13" x14ac:dyDescent="0.25">
      <c r="A6" s="1" t="s">
        <v>2</v>
      </c>
      <c r="B6" s="28">
        <v>180</v>
      </c>
      <c r="C6" s="26">
        <f>'Kaukolämmön kk.kulutus'!F6</f>
        <v>-3.8</v>
      </c>
      <c r="D6" s="26">
        <f>'Kaukolämmön kk.kulutus'!G6</f>
        <v>5500</v>
      </c>
      <c r="E6" s="26">
        <f>'Kaukolämmön kk.kulutus'!H6</f>
        <v>10</v>
      </c>
      <c r="F6" s="26">
        <f t="shared" si="0"/>
        <v>13.8</v>
      </c>
      <c r="G6" s="27">
        <f t="shared" si="1"/>
        <v>32.727272727272727</v>
      </c>
      <c r="I6" s="20">
        <f>MAX(F4:F15)+5</f>
        <v>31.3</v>
      </c>
      <c r="J6" s="21">
        <f>I6*J8+J9</f>
        <v>287.31483098023165</v>
      </c>
      <c r="L6" s="20">
        <f>MAX(D4:D15)+2000</f>
        <v>10000</v>
      </c>
      <c r="M6" s="20">
        <f>L6*M8+M9</f>
        <v>264.17687074829934</v>
      </c>
    </row>
    <row r="7" spans="1:13" x14ac:dyDescent="0.25">
      <c r="A7" s="1" t="s">
        <v>3</v>
      </c>
      <c r="B7" s="28">
        <v>160</v>
      </c>
      <c r="C7" s="26">
        <f>'Kaukolämmön kk.kulutus'!F7</f>
        <v>4</v>
      </c>
      <c r="D7" s="26">
        <f>'Kaukolämmön kk.kulutus'!G7</f>
        <v>4000</v>
      </c>
      <c r="E7" s="26">
        <f>'Kaukolämmön kk.kulutus'!H7</f>
        <v>10</v>
      </c>
      <c r="F7" s="26">
        <f t="shared" si="0"/>
        <v>6</v>
      </c>
      <c r="G7" s="27">
        <f t="shared" si="1"/>
        <v>40</v>
      </c>
      <c r="I7" s="63" t="s">
        <v>34</v>
      </c>
      <c r="J7" s="65"/>
      <c r="L7" s="63" t="s">
        <v>34</v>
      </c>
      <c r="M7" s="65"/>
    </row>
    <row r="8" spans="1:13" x14ac:dyDescent="0.25">
      <c r="A8" s="1" t="s">
        <v>4</v>
      </c>
      <c r="B8" s="28">
        <v>20</v>
      </c>
      <c r="C8" s="26">
        <f>'Kaukolämmön kk.kulutus'!F8</f>
        <v>8.8000000000000007</v>
      </c>
      <c r="D8" s="26">
        <f>'Kaukolämmön kk.kulutus'!G8</f>
        <v>2000</v>
      </c>
      <c r="E8" s="26">
        <f>'Kaukolämmön kk.kulutus'!H8</f>
        <v>10</v>
      </c>
      <c r="F8" s="26">
        <f t="shared" si="0"/>
        <v>1.1999999999999993</v>
      </c>
      <c r="G8" s="27">
        <f t="shared" si="1"/>
        <v>10</v>
      </c>
      <c r="I8" s="18" t="s">
        <v>29</v>
      </c>
      <c r="J8" s="19">
        <f>IFERROR(INDEX(LINEST(B4:B15,F4:F15,TRUE,FALSE),1),"k -arvoa ei voitu laskea")</f>
        <v>5.7530545482645818</v>
      </c>
      <c r="L8" s="18" t="s">
        <v>29</v>
      </c>
      <c r="M8" s="30">
        <f>IFERROR(INDEX(LINEST(B4:B15,D4:D15,TRUE,FALSE),1),"k -arvoa ei voitu laskea")</f>
        <v>2.17795918367347E-2</v>
      </c>
    </row>
    <row r="9" spans="1:13" x14ac:dyDescent="0.25">
      <c r="A9" s="1" t="s">
        <v>5</v>
      </c>
      <c r="B9" s="28">
        <v>100</v>
      </c>
      <c r="C9" s="26">
        <f>'Kaukolämmön kk.kulutus'!F9</f>
        <v>15.6</v>
      </c>
      <c r="D9" s="26">
        <f>'Kaukolämmön kk.kulutus'!G9</f>
        <v>500</v>
      </c>
      <c r="E9" s="26">
        <f>'Kaukolämmön kk.kulutus'!H9</f>
        <v>10</v>
      </c>
      <c r="F9" s="26">
        <f t="shared" si="0"/>
        <v>-5.6</v>
      </c>
      <c r="G9" s="27">
        <f t="shared" si="1"/>
        <v>200</v>
      </c>
      <c r="I9" s="18" t="s">
        <v>30</v>
      </c>
      <c r="J9" s="19">
        <f>IFERROR(INDEX(LINEST(B4:B15,F4:F15,TRUE,FALSE),2),"b -arvoa ei voitu laskea")</f>
        <v>107.24422361955024</v>
      </c>
      <c r="L9" s="18" t="s">
        <v>30</v>
      </c>
      <c r="M9" s="19">
        <f>IFERROR(INDEX(LINEST(B4:B15,D4:D15,TRUE,FALSE),2),"b -arvoa ei voitu laskea")</f>
        <v>46.380952380952351</v>
      </c>
    </row>
    <row r="10" spans="1:13" x14ac:dyDescent="0.25">
      <c r="A10" s="1" t="s">
        <v>6</v>
      </c>
      <c r="B10" s="28">
        <v>20</v>
      </c>
      <c r="C10" s="26">
        <f>'Kaukolämmön kk.kulutus'!F10</f>
        <v>17.899999999999999</v>
      </c>
      <c r="D10" s="26">
        <f>'Kaukolämmön kk.kulutus'!G10</f>
        <v>500</v>
      </c>
      <c r="E10" s="26">
        <f>'Kaukolämmön kk.kulutus'!H10</f>
        <v>10</v>
      </c>
      <c r="F10" s="26">
        <f t="shared" si="0"/>
        <v>-7.8999999999999986</v>
      </c>
      <c r="G10" s="27">
        <f t="shared" si="1"/>
        <v>40</v>
      </c>
      <c r="I10" s="77" t="s">
        <v>35</v>
      </c>
      <c r="J10" s="78"/>
      <c r="L10" s="79" t="s">
        <v>35</v>
      </c>
      <c r="M10" s="80"/>
    </row>
    <row r="11" spans="1:13" x14ac:dyDescent="0.25">
      <c r="A11" s="1" t="s">
        <v>7</v>
      </c>
      <c r="B11" s="28">
        <v>100</v>
      </c>
      <c r="C11" s="26">
        <f>'Kaukolämmön kk.kulutus'!F11</f>
        <v>14.3</v>
      </c>
      <c r="D11" s="26">
        <f>'Kaukolämmön kk.kulutus'!G11</f>
        <v>2000</v>
      </c>
      <c r="E11" s="26">
        <f>'Kaukolämmön kk.kulutus'!H11</f>
        <v>10</v>
      </c>
      <c r="F11" s="26">
        <f t="shared" si="0"/>
        <v>-4.3000000000000007</v>
      </c>
      <c r="G11" s="27">
        <f t="shared" si="1"/>
        <v>50</v>
      </c>
      <c r="I11" s="81" t="str">
        <f>IF(J8="k -arvoa ei voitu laskea","Suoran yhtälöä ei voitu laskea",IF(J9&lt;0,"Y="&amp;TEXT(J8,"0,00")&amp;"X"&amp;TEXT(J9,"0,00"),"Y="&amp;TEXT(J8,"0,00")&amp;"X+"&amp;TEXT(J9,"0,00")))</f>
        <v>Y=5,75X+107,24</v>
      </c>
      <c r="J11" s="82"/>
      <c r="L11" s="84" t="str">
        <f>IF(M8="k -arvoa ei voitu laskea","Suoran yhtälöä ei voitu laskea",IF(M9&lt;0,"Y="&amp;TEXT(M8,"0,000")&amp;"X"&amp;TEXT(M9,"0,00"),"Y="&amp;TEXT(M8,"0,000")&amp;"X+"&amp;TEXT(M9,"0,00")))</f>
        <v>Y=0,022X+46,38</v>
      </c>
      <c r="M11" s="85"/>
    </row>
    <row r="12" spans="1:13" x14ac:dyDescent="0.25">
      <c r="A12" s="1" t="s">
        <v>8</v>
      </c>
      <c r="B12" s="28">
        <v>130</v>
      </c>
      <c r="C12" s="26">
        <f>'Kaukolämmön kk.kulutus'!F12</f>
        <v>10.7</v>
      </c>
      <c r="D12" s="26">
        <f>'Kaukolämmön kk.kulutus'!G12</f>
        <v>4000</v>
      </c>
      <c r="E12" s="26">
        <f>'Kaukolämmön kk.kulutus'!H12</f>
        <v>10</v>
      </c>
      <c r="F12" s="26">
        <f t="shared" si="0"/>
        <v>-0.69999999999999929</v>
      </c>
      <c r="G12" s="27">
        <f t="shared" si="1"/>
        <v>32.5</v>
      </c>
      <c r="K12" s="15"/>
    </row>
    <row r="13" spans="1:13" x14ac:dyDescent="0.25">
      <c r="A13" s="1" t="s">
        <v>9</v>
      </c>
      <c r="B13" s="28">
        <v>160</v>
      </c>
      <c r="C13" s="26">
        <f>'Kaukolämmön kk.kulutus'!F13</f>
        <v>4.7</v>
      </c>
      <c r="D13" s="26">
        <f>'Kaukolämmön kk.kulutus'!G13</f>
        <v>7000</v>
      </c>
      <c r="E13" s="26">
        <f>'Kaukolämmön kk.kulutus'!H13</f>
        <v>10</v>
      </c>
      <c r="F13" s="26">
        <f t="shared" si="0"/>
        <v>5.3</v>
      </c>
      <c r="G13" s="27">
        <f t="shared" si="1"/>
        <v>22.857142857142858</v>
      </c>
    </row>
    <row r="14" spans="1:13" x14ac:dyDescent="0.25">
      <c r="A14" s="1" t="s">
        <v>10</v>
      </c>
      <c r="B14" s="28">
        <v>180</v>
      </c>
      <c r="C14" s="26">
        <f>'Kaukolämmön kk.kulutus'!F14</f>
        <v>1.5</v>
      </c>
      <c r="D14" s="26">
        <f>'Kaukolämmön kk.kulutus'!G14</f>
        <v>7500</v>
      </c>
      <c r="E14" s="26">
        <f>'Kaukolämmön kk.kulutus'!H14</f>
        <v>10</v>
      </c>
      <c r="F14" s="26">
        <f t="shared" si="0"/>
        <v>8.5</v>
      </c>
      <c r="G14" s="27">
        <f t="shared" si="1"/>
        <v>24</v>
      </c>
    </row>
    <row r="15" spans="1:13" x14ac:dyDescent="0.25">
      <c r="A15" s="1" t="s">
        <v>11</v>
      </c>
      <c r="B15" s="28">
        <v>200</v>
      </c>
      <c r="C15" s="26">
        <f>'Kaukolämmön kk.kulutus'!F15</f>
        <v>-0.4</v>
      </c>
      <c r="D15" s="26">
        <f>'Kaukolämmön kk.kulutus'!G15</f>
        <v>8000</v>
      </c>
      <c r="E15" s="26">
        <f>'Kaukolämmön kk.kulutus'!H15</f>
        <v>10</v>
      </c>
      <c r="F15" s="26">
        <f t="shared" si="0"/>
        <v>10.4</v>
      </c>
      <c r="G15" s="27">
        <f t="shared" si="1"/>
        <v>25</v>
      </c>
    </row>
    <row r="16" spans="1:13" x14ac:dyDescent="0.25">
      <c r="A16" s="6" t="s">
        <v>19</v>
      </c>
      <c r="B16" s="47">
        <f>SUM(B4:B15)</f>
        <v>1700</v>
      </c>
      <c r="C16" s="4" t="s">
        <v>38</v>
      </c>
      <c r="D16" s="48">
        <f>SUM(D4:D15)</f>
        <v>52500</v>
      </c>
      <c r="E16" s="4" t="s">
        <v>24</v>
      </c>
      <c r="F16" s="2"/>
      <c r="G16" s="49">
        <f>IFERROR(AVERAGE(G4:G15),"-")</f>
        <v>46.29743867243868</v>
      </c>
      <c r="H16" s="5" t="s">
        <v>26</v>
      </c>
    </row>
    <row r="17" spans="2:14" ht="15.75" x14ac:dyDescent="0.25">
      <c r="B17" s="3" t="s">
        <v>77</v>
      </c>
      <c r="L17" s="44"/>
      <c r="M17" s="32"/>
      <c r="N17" s="32"/>
    </row>
    <row r="18" spans="2:14" x14ac:dyDescent="0.25">
      <c r="L18" s="31"/>
      <c r="M18" s="32"/>
      <c r="N18" s="32"/>
    </row>
    <row r="19" spans="2:14" x14ac:dyDescent="0.25">
      <c r="L19" s="31"/>
      <c r="M19" s="45"/>
      <c r="N19" s="32"/>
    </row>
    <row r="20" spans="2:14" x14ac:dyDescent="0.25">
      <c r="L20" s="34"/>
    </row>
  </sheetData>
  <mergeCells count="8">
    <mergeCell ref="I11:J11"/>
    <mergeCell ref="L11:M11"/>
    <mergeCell ref="I4:J4"/>
    <mergeCell ref="L4:M4"/>
    <mergeCell ref="I7:J7"/>
    <mergeCell ref="L7:M7"/>
    <mergeCell ref="I10:J10"/>
    <mergeCell ref="L10:M10"/>
  </mergeCells>
  <pageMargins left="0.7" right="0.7" top="0.75" bottom="0.75" header="0.3" footer="0.3"/>
  <pageSetup orientation="portrait" horizontalDpi="300" verticalDpi="0" copies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232A219753FA47AC3A0FCC63DB6D84" ma:contentTypeVersion="8" ma:contentTypeDescription="Create a new document." ma:contentTypeScope="" ma:versionID="1a077c71d9859b596bc791d37655e393">
  <xsd:schema xmlns:xsd="http://www.w3.org/2001/XMLSchema" xmlns:xs="http://www.w3.org/2001/XMLSchema" xmlns:p="http://schemas.microsoft.com/office/2006/metadata/properties" xmlns:ns2="01cf5b0d-3cd6-4430-b4c5-7984c07b31c2" xmlns:ns3="1239ed13-db4f-4ff7-be46-d8de02270e90" targetNamespace="http://schemas.microsoft.com/office/2006/metadata/properties" ma:root="true" ma:fieldsID="11da3422e9e321a39a2da98f86a9a6c1" ns2:_="" ns3:_="">
    <xsd:import namespace="01cf5b0d-3cd6-4430-b4c5-7984c07b31c2"/>
    <xsd:import namespace="1239ed13-db4f-4ff7-be46-d8de02270e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cf5b0d-3cd6-4430-b4c5-7984c07b31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9ed13-db4f-4ff7-be46-d8de02270e9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192305B-0239-4B5D-87EC-F0A15E22EF6B}"/>
</file>

<file path=customXml/itemProps2.xml><?xml version="1.0" encoding="utf-8"?>
<ds:datastoreItem xmlns:ds="http://schemas.openxmlformats.org/officeDocument/2006/customXml" ds:itemID="{574F0C6E-5818-4D72-869E-E57BB9AD4C94}"/>
</file>

<file path=customXml/itemProps3.xml><?xml version="1.0" encoding="utf-8"?>
<ds:datastoreItem xmlns:ds="http://schemas.openxmlformats.org/officeDocument/2006/customXml" ds:itemID="{08792BCC-9E39-418F-A603-BF34055179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Lomake</vt:lpstr>
      <vt:lpstr>Kaukolämmön kk.kulutus</vt:lpstr>
      <vt:lpstr>Sähkön kk.kulutus</vt:lpstr>
      <vt:lpstr>Veden kk.kulutus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stoomla</dc:creator>
  <cp:lastModifiedBy>Toomla Sander</cp:lastModifiedBy>
  <dcterms:created xsi:type="dcterms:W3CDTF">2014-12-05T07:51:25Z</dcterms:created>
  <dcterms:modified xsi:type="dcterms:W3CDTF">2016-01-12T09:42:58Z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0x010100E9232A219753FA47AC3A0FCC63DB6D84</vt:lpwstr>
  </property>
</Properties>
</file>